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aved\Dropbox\Hāpi Brewing Success - Master Docs\Hāpi Projects\Web Content\Grower Resources\Final Grower Resources\"/>
    </mc:Choice>
  </mc:AlternateContent>
  <xr:revisionPtr revIDLastSave="0" documentId="8_{DAD977B9-0AF3-438E-83FA-334907ED7821}" xr6:coauthVersionLast="44" xr6:coauthVersionMax="44" xr10:uidLastSave="{00000000-0000-0000-0000-000000000000}"/>
  <bookViews>
    <workbookView xWindow="-98" yWindow="-98" windowWidth="22695" windowHeight="14595" tabRatio="692" xr2:uid="{00000000-000D-0000-FFFF-FFFF00000000}"/>
  </bookViews>
  <sheets>
    <sheet name="Preface" sheetId="18" r:id="rId1"/>
    <sheet name="Notes&amp;Assumptions" sheetId="17" r:id="rId2"/>
    <sheet name="Typical_Calendar" sheetId="16" r:id="rId3"/>
    <sheet name="Budget_Costs" sheetId="8" r:id="rId4"/>
    <sheet name="Proforma_Annual_P&amp;L" sheetId="9" r:id="rId5"/>
    <sheet name="Endnote" sheetId="20" r:id="rId6"/>
  </sheets>
  <definedNames>
    <definedName name="CIQWBGuid" localSheetId="4" hidden="1">"30eda3aa-4287-45da-be08-d7bcabcc886a"</definedName>
    <definedName name="CIQWBGuid" hidden="1">"853f539e-6a36-4653-be67-04f688e7e5ec"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42184.733287037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4">'Proforma_Annual_P&amp;L'!$B$3:$F$61</definedName>
    <definedName name="_xlnm.Print_Area" localSheetId="2">Typical_Calendar!$B$2:$H$52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9" l="1"/>
  <c r="F79" i="8" l="1"/>
  <c r="C66" i="8"/>
  <c r="E17" i="9" l="1"/>
  <c r="G17" i="9"/>
  <c r="F17" i="9"/>
  <c r="C6" i="9"/>
  <c r="G6" i="9"/>
  <c r="F6" i="9"/>
  <c r="E6" i="9"/>
  <c r="D6" i="9"/>
  <c r="G53" i="9"/>
  <c r="F53" i="9"/>
  <c r="E53" i="9"/>
  <c r="D53" i="9"/>
  <c r="G45" i="9"/>
  <c r="F45" i="9"/>
  <c r="E45" i="9"/>
  <c r="D45" i="9"/>
  <c r="C45" i="9"/>
  <c r="G11" i="9" l="1"/>
  <c r="G10" i="9"/>
  <c r="G9" i="9"/>
  <c r="D8" i="9"/>
  <c r="D12" i="9" s="1"/>
  <c r="D11" i="9"/>
  <c r="D9" i="9"/>
  <c r="D10" i="9"/>
  <c r="F8" i="9"/>
  <c r="F12" i="9" s="1"/>
  <c r="F9" i="9"/>
  <c r="F10" i="9"/>
  <c r="F11" i="9"/>
  <c r="E10" i="9"/>
  <c r="E11" i="9"/>
  <c r="E9" i="9"/>
  <c r="C9" i="9"/>
  <c r="C10" i="9"/>
  <c r="C11" i="9"/>
  <c r="G8" i="9"/>
  <c r="G12" i="9" s="1"/>
  <c r="H15" i="8"/>
  <c r="C17" i="9"/>
  <c r="D17" i="9"/>
  <c r="E8" i="9"/>
  <c r="E12" i="9" s="1"/>
  <c r="C8" i="9"/>
  <c r="C12" i="9" s="1"/>
  <c r="D55" i="8"/>
  <c r="C29" i="8"/>
  <c r="E36" i="8"/>
  <c r="E35" i="8"/>
  <c r="E34" i="8"/>
  <c r="D13" i="9" l="1"/>
  <c r="D14" i="9" s="1"/>
  <c r="F13" i="9"/>
  <c r="F14" i="9" s="1"/>
  <c r="G13" i="9"/>
  <c r="G14" i="9" s="1"/>
  <c r="E13" i="9"/>
  <c r="E14" i="9" s="1"/>
  <c r="G44" i="9"/>
  <c r="G43" i="9"/>
  <c r="G42" i="9"/>
  <c r="G34" i="9"/>
  <c r="G33" i="9"/>
  <c r="G31" i="9"/>
  <c r="G30" i="9"/>
  <c r="G25" i="9"/>
  <c r="G24" i="9"/>
  <c r="G23" i="9"/>
  <c r="G22" i="9"/>
  <c r="G21" i="9"/>
  <c r="D60" i="8"/>
  <c r="C77" i="8"/>
  <c r="C13" i="9" l="1"/>
  <c r="C14" i="9" s="1"/>
  <c r="G67" i="9"/>
  <c r="F67" i="9"/>
  <c r="E67" i="9"/>
  <c r="D67" i="9"/>
  <c r="C67" i="9"/>
  <c r="H44" i="8" l="1"/>
  <c r="F31" i="9" l="1"/>
  <c r="E31" i="9"/>
  <c r="D31" i="9"/>
  <c r="C31" i="9"/>
  <c r="H45" i="8" l="1"/>
  <c r="H29" i="8"/>
  <c r="D36" i="8" l="1"/>
  <c r="D35" i="8"/>
  <c r="D34" i="8"/>
  <c r="F44" i="9" l="1"/>
  <c r="F43" i="9"/>
  <c r="F42" i="9"/>
  <c r="F34" i="9"/>
  <c r="F33" i="9"/>
  <c r="F30" i="9"/>
  <c r="F25" i="9"/>
  <c r="F24" i="9"/>
  <c r="F23" i="9"/>
  <c r="F22" i="9"/>
  <c r="F21" i="9"/>
  <c r="E44" i="9"/>
  <c r="E43" i="9"/>
  <c r="E42" i="9"/>
  <c r="E34" i="9"/>
  <c r="E33" i="9"/>
  <c r="E30" i="9"/>
  <c r="E25" i="9"/>
  <c r="E24" i="9"/>
  <c r="E23" i="9"/>
  <c r="E22" i="9"/>
  <c r="E21" i="9"/>
  <c r="H23" i="8" l="1"/>
  <c r="H22" i="8"/>
  <c r="H21" i="8"/>
  <c r="H20" i="8"/>
  <c r="H19" i="8"/>
  <c r="H28" i="8"/>
  <c r="H33" i="8"/>
  <c r="H32" i="8"/>
  <c r="H31" i="8"/>
  <c r="H42" i="8"/>
  <c r="H41" i="8"/>
  <c r="H43" i="8"/>
  <c r="H39" i="8"/>
  <c r="H38" i="8"/>
  <c r="H37" i="8"/>
  <c r="H27" i="8"/>
  <c r="H26" i="8"/>
  <c r="H25" i="8"/>
  <c r="H24" i="8"/>
  <c r="H18" i="8"/>
  <c r="H17" i="8"/>
  <c r="H16" i="8"/>
  <c r="D44" i="9"/>
  <c r="C44" i="9"/>
  <c r="D43" i="9"/>
  <c r="C43" i="9"/>
  <c r="H36" i="8"/>
  <c r="H35" i="8"/>
  <c r="H34" i="8"/>
  <c r="E8" i="16" l="1"/>
  <c r="E12" i="16" s="1"/>
  <c r="E16" i="16" s="1"/>
  <c r="E20" i="16" s="1"/>
  <c r="E24" i="16" s="1"/>
  <c r="E28" i="16" s="1"/>
  <c r="E32" i="16" s="1"/>
  <c r="E36" i="16" s="1"/>
  <c r="E40" i="16" s="1"/>
  <c r="E44" i="16" s="1"/>
  <c r="E48" i="16" s="1"/>
  <c r="D66" i="9" l="1"/>
  <c r="E66" i="9"/>
  <c r="F66" i="9"/>
  <c r="C66" i="9"/>
  <c r="G37" i="9"/>
  <c r="G18" i="9"/>
  <c r="G39" i="9"/>
  <c r="G40" i="9"/>
  <c r="G29" i="9"/>
  <c r="G19" i="9"/>
  <c r="G27" i="9"/>
  <c r="G26" i="9"/>
  <c r="G20" i="9"/>
  <c r="G66" i="9"/>
  <c r="G28" i="9"/>
  <c r="G35" i="9"/>
  <c r="G36" i="9"/>
  <c r="G38" i="9"/>
  <c r="F38" i="9"/>
  <c r="F29" i="9"/>
  <c r="F37" i="9"/>
  <c r="F28" i="9"/>
  <c r="F20" i="9"/>
  <c r="F27" i="9"/>
  <c r="F36" i="9"/>
  <c r="F19" i="9"/>
  <c r="F35" i="9"/>
  <c r="F26" i="9"/>
  <c r="F18" i="9"/>
  <c r="F40" i="9"/>
  <c r="F39" i="9"/>
  <c r="E40" i="9"/>
  <c r="E39" i="9"/>
  <c r="E29" i="9"/>
  <c r="E35" i="9"/>
  <c r="E38" i="9"/>
  <c r="E26" i="9"/>
  <c r="E37" i="9"/>
  <c r="E28" i="9"/>
  <c r="E20" i="9"/>
  <c r="E36" i="9"/>
  <c r="E27" i="9"/>
  <c r="E19" i="9"/>
  <c r="E18" i="9"/>
  <c r="G41" i="9" l="1"/>
  <c r="G46" i="9" s="1"/>
  <c r="E41" i="9"/>
  <c r="E46" i="9" s="1"/>
  <c r="F41" i="9"/>
  <c r="F46" i="9" s="1"/>
  <c r="F61" i="9" l="1"/>
  <c r="F64" i="9"/>
  <c r="F65" i="9"/>
  <c r="E61" i="9"/>
  <c r="E64" i="9"/>
  <c r="E65" i="9"/>
  <c r="G61" i="9"/>
  <c r="G64" i="9"/>
  <c r="G65" i="9"/>
  <c r="G51" i="9"/>
  <c r="G68" i="9" l="1"/>
  <c r="E51" i="9"/>
  <c r="F51" i="9"/>
  <c r="F68" i="9" l="1"/>
  <c r="E68" i="9"/>
  <c r="D34" i="9" l="1"/>
  <c r="C34" i="9"/>
  <c r="D23" i="9" l="1"/>
  <c r="C23" i="9"/>
  <c r="D42" i="9" l="1"/>
  <c r="C42" i="9"/>
  <c r="D33" i="9"/>
  <c r="C33" i="9"/>
  <c r="D30" i="9"/>
  <c r="C30" i="9"/>
  <c r="D25" i="9"/>
  <c r="C25" i="9"/>
  <c r="D24" i="9"/>
  <c r="C24" i="9"/>
  <c r="D22" i="9"/>
  <c r="C22" i="9"/>
  <c r="D21" i="9"/>
  <c r="C21" i="9"/>
  <c r="C53" i="9" l="1"/>
  <c r="D40" i="9" l="1"/>
  <c r="D28" i="9"/>
  <c r="D19" i="9"/>
  <c r="D29" i="9"/>
  <c r="D20" i="9"/>
  <c r="D18" i="9"/>
  <c r="D37" i="9"/>
  <c r="D26" i="9"/>
  <c r="D39" i="9"/>
  <c r="D27" i="9"/>
  <c r="D38" i="9"/>
  <c r="D35" i="9"/>
  <c r="D36" i="9"/>
  <c r="C39" i="9"/>
  <c r="C27" i="9"/>
  <c r="C18" i="9"/>
  <c r="C19" i="9"/>
  <c r="C26" i="9"/>
  <c r="C40" i="9"/>
  <c r="C28" i="9"/>
  <c r="C29" i="9"/>
  <c r="C20" i="9"/>
  <c r="C37" i="9"/>
  <c r="C35" i="9"/>
  <c r="C36" i="9"/>
  <c r="C38" i="9"/>
  <c r="D41" i="9" l="1"/>
  <c r="D46" i="9" s="1"/>
  <c r="C41" i="9"/>
  <c r="C46" i="9" s="1"/>
  <c r="C64" i="9" l="1"/>
  <c r="C65" i="9"/>
  <c r="D61" i="9"/>
  <c r="D64" i="9"/>
  <c r="D65" i="9"/>
  <c r="C61" i="9"/>
  <c r="C68" i="9" l="1"/>
  <c r="C51" i="9"/>
  <c r="D51" i="9"/>
  <c r="C50" i="9"/>
  <c r="D68" i="9" l="1"/>
  <c r="D50" i="9"/>
  <c r="E50" i="9" l="1"/>
  <c r="F50" i="9" l="1"/>
  <c r="G50" i="9" l="1"/>
  <c r="C48" i="9" l="1"/>
  <c r="C54" i="9" l="1"/>
  <c r="C55" i="9" s="1"/>
  <c r="C60" i="9" s="1"/>
  <c r="D48" i="9"/>
  <c r="D54" i="9" s="1"/>
  <c r="E48" i="9"/>
  <c r="E54" i="9" s="1"/>
  <c r="C49" i="9"/>
  <c r="C58" i="9"/>
  <c r="E55" i="9" l="1"/>
  <c r="D55" i="9"/>
  <c r="D60" i="9" s="1"/>
  <c r="D58" i="9"/>
  <c r="D49" i="9"/>
  <c r="F48" i="9"/>
  <c r="F54" i="9" s="1"/>
  <c r="E49" i="9"/>
  <c r="E58" i="9"/>
  <c r="G48" i="9"/>
  <c r="G54" i="9" s="1"/>
  <c r="E60" i="9" l="1"/>
  <c r="E57" i="9"/>
  <c r="G55" i="9"/>
  <c r="F55" i="9"/>
  <c r="F60" i="9" s="1"/>
  <c r="G58" i="9"/>
  <c r="G49" i="9"/>
  <c r="F49" i="9"/>
  <c r="C57" i="9"/>
  <c r="D57" i="9"/>
  <c r="F58" i="9"/>
  <c r="G57" i="9" l="1"/>
  <c r="G59" i="9" s="1"/>
  <c r="G60" i="9"/>
  <c r="C59" i="9"/>
  <c r="D59" i="9"/>
  <c r="F57" i="9" l="1"/>
  <c r="E59" i="9"/>
  <c r="F59" i="9" l="1"/>
</calcChain>
</file>

<file path=xl/sharedStrings.xml><?xml version="1.0" encoding="utf-8"?>
<sst xmlns="http://schemas.openxmlformats.org/spreadsheetml/2006/main" count="290" uniqueCount="207">
  <si>
    <t>Notes</t>
  </si>
  <si>
    <t>TOTAL</t>
  </si>
  <si>
    <t>Fuel and Oil</t>
  </si>
  <si>
    <t>Supplies</t>
  </si>
  <si>
    <t>Field Poles</t>
  </si>
  <si>
    <t>Irrigation System</t>
  </si>
  <si>
    <t>Insurance Cost (Farm + General)</t>
  </si>
  <si>
    <t>Equip. &amp; Building Annual Replacement Cost</t>
  </si>
  <si>
    <t>Hectares Under Canopy</t>
  </si>
  <si>
    <t>Electricity</t>
  </si>
  <si>
    <t>Local Body Rates</t>
  </si>
  <si>
    <t>$1.40 per $100 of Payroll</t>
  </si>
  <si>
    <t>Coal for Boilers</t>
  </si>
  <si>
    <t>Hop Training</t>
  </si>
  <si>
    <t>Hop Stringing</t>
  </si>
  <si>
    <t>Mowing &amp; Maintenance</t>
  </si>
  <si>
    <t>Checking Pegs</t>
  </si>
  <si>
    <t>Hop Gardens - Parts and Repairs</t>
  </si>
  <si>
    <t>Machinery - Parts and Repairs</t>
  </si>
  <si>
    <t>Accounting &amp; Admin</t>
  </si>
  <si>
    <t>TOTAL ANNUAL OPERATING COST</t>
  </si>
  <si>
    <t>Fixed</t>
  </si>
  <si>
    <t>Other</t>
  </si>
  <si>
    <t>Est. cost</t>
  </si>
  <si>
    <t>per Ha</t>
  </si>
  <si>
    <t>per Plant</t>
  </si>
  <si>
    <t>Operating Costs</t>
  </si>
  <si>
    <t>Net Income</t>
  </si>
  <si>
    <t>Land Prep &amp; Establishment</t>
  </si>
  <si>
    <t>Annual Financial Model</t>
  </si>
  <si>
    <t>Equipment &amp; Building Depreciation</t>
  </si>
  <si>
    <t>Maintenance capex</t>
  </si>
  <si>
    <t>Farm Equipment - Parts and Repairs</t>
  </si>
  <si>
    <t>Tractors, implements, tools, vehicles, etc.</t>
  </si>
  <si>
    <t>n/a</t>
  </si>
  <si>
    <t>Est. for D&amp;A of all buildings and equipment</t>
  </si>
  <si>
    <t>Total Operating Cost per Kg</t>
  </si>
  <si>
    <t>Total Operating Cost per Ha</t>
  </si>
  <si>
    <t>Farm Manager</t>
  </si>
  <si>
    <t>Assistant 1</t>
  </si>
  <si>
    <t>Services, Data &amp; IT</t>
  </si>
  <si>
    <t>Soil monitoring, Internet, Cellular Data, Cloud SaaS, Etc.</t>
  </si>
  <si>
    <t>Accident Compensation Levy</t>
  </si>
  <si>
    <t>Gross Revenue</t>
  </si>
  <si>
    <t>Freight</t>
  </si>
  <si>
    <t>Health &amp; Safety</t>
  </si>
  <si>
    <t>&lt;−−−</t>
  </si>
  <si>
    <t>Post-Harvest Clean Up &amp; Maintenance</t>
  </si>
  <si>
    <t>Plants enter Dormant Stage</t>
  </si>
  <si>
    <t>Composting of Harvest Waste</t>
  </si>
  <si>
    <t>Plants Dormant</t>
  </si>
  <si>
    <t>Dormant Phase</t>
  </si>
  <si>
    <t>Infrastructure &amp; Maintenance Work</t>
  </si>
  <si>
    <t>Winter tilling &amp; cultivation of hops gardens</t>
  </si>
  <si>
    <t>Initial Growth</t>
  </si>
  <si>
    <t>Spring Growth Stage Begins</t>
  </si>
  <si>
    <t>Initial Weeding of the Hop Gardens</t>
  </si>
  <si>
    <t>Planting of New Hop Starts</t>
  </si>
  <si>
    <t>Spring Pruning (removes initial growth)</t>
  </si>
  <si>
    <t>Fertilizer Application Begins</t>
  </si>
  <si>
    <t>Pruning &amp; Training</t>
  </si>
  <si>
    <t>Pegs checked and bines retrained as needed</t>
  </si>
  <si>
    <t>Mowing and Field Maintenance</t>
  </si>
  <si>
    <t>Irrigation and Fertilizer Application</t>
  </si>
  <si>
    <t>Major Vegetative Growth of Bines</t>
  </si>
  <si>
    <t>Floral Production Begins</t>
  </si>
  <si>
    <t>Floral Growth</t>
  </si>
  <si>
    <t>Harvest Preparation - Machinery Testing and Final Maintenance</t>
  </si>
  <si>
    <t>Dry Matter Analysis and Alpha/Beta Acid Analysis for Harvest Timing</t>
  </si>
  <si>
    <t>Harvest</t>
  </si>
  <si>
    <t>Bines Cut in Field, Harvested, Kiln Dried and Baled</t>
  </si>
  <si>
    <t>Hops Trained onto strings</t>
  </si>
  <si>
    <t>Plants Emerge</t>
  </si>
  <si>
    <t>Stringing of the Canopy Begins</t>
  </si>
  <si>
    <t>OPERATING EXPENSES</t>
  </si>
  <si>
    <t>Local Body Rates &amp; Levies</t>
  </si>
  <si>
    <t>Legal, Travel &amp; Misc. Admin</t>
  </si>
  <si>
    <t>Est. for legal, travel and misc. admin spend</t>
  </si>
  <si>
    <t>Est. for health and safety spend</t>
  </si>
  <si>
    <t>Anchor Poles</t>
  </si>
  <si>
    <t>Tractors</t>
  </si>
  <si>
    <t>Assistant 2</t>
  </si>
  <si>
    <t>Interest Paid</t>
  </si>
  <si>
    <t>Ring Poles</t>
  </si>
  <si>
    <t>Wire</t>
  </si>
  <si>
    <t>Hop Plants</t>
  </si>
  <si>
    <t>Picker Shed</t>
  </si>
  <si>
    <t>Kiln Shed</t>
  </si>
  <si>
    <t>Baler</t>
  </si>
  <si>
    <t>Conveyors and Mechanicals</t>
  </si>
  <si>
    <t>Electrical &amp; Control Systems</t>
  </si>
  <si>
    <t>Harvest Trailers</t>
  </si>
  <si>
    <t>Boiler and Plumbing</t>
  </si>
  <si>
    <t>Top Cutter</t>
  </si>
  <si>
    <t>Misc. Additional CapEx</t>
  </si>
  <si>
    <t>CAPITAL EXPENDITURES</t>
  </si>
  <si>
    <t>Harvest Begins in Late Feb.</t>
  </si>
  <si>
    <t>Land Cost (Lease or Debt)</t>
  </si>
  <si>
    <t>Fuel for Boilers</t>
  </si>
  <si>
    <t>Property Tax</t>
  </si>
  <si>
    <t>Twine, bales, clips, etc.</t>
  </si>
  <si>
    <t>Weed Spraying</t>
  </si>
  <si>
    <t>Est. for outsourcing of AP/AR, Payroll, Tax, Company Secretarial, HR, IT, etc.</t>
  </si>
  <si>
    <t>130 poles @ $85/pole (erected cost)</t>
  </si>
  <si>
    <t>50 poles @ $110/pole (erected cost)</t>
  </si>
  <si>
    <t>50 poles @ $55/pole (erected cost)</t>
  </si>
  <si>
    <t>Year 1</t>
  </si>
  <si>
    <t>Year 2</t>
  </si>
  <si>
    <t>Year 3</t>
  </si>
  <si>
    <t>Year 4</t>
  </si>
  <si>
    <t>Year 5</t>
  </si>
  <si>
    <t>Operating Margin</t>
  </si>
  <si>
    <t>Land Cost</t>
  </si>
  <si>
    <t>Net Revenue</t>
  </si>
  <si>
    <t>Cold Storage</t>
  </si>
  <si>
    <t>Pelleting &amp; Packaging</t>
  </si>
  <si>
    <t>Sales and Marketing</t>
  </si>
  <si>
    <t>Capitalized Start-up OpEx Losses (year 0)</t>
  </si>
  <si>
    <t>Wtd Avg NZD/Kg Sale Price (T-90s)</t>
  </si>
  <si>
    <t>Wtd Avg $/Ha Net Revenue</t>
  </si>
  <si>
    <t>Varietal Licensing</t>
  </si>
  <si>
    <t>Net Income Yield</t>
  </si>
  <si>
    <t>Yield per Ha (T-90 pellets)</t>
  </si>
  <si>
    <t>Ongoing Working Capital Need</t>
  </si>
  <si>
    <t>Est. at 5% of gross revenue</t>
  </si>
  <si>
    <t>Est. at $3.00 per kg produced</t>
  </si>
  <si>
    <t>PROCESSING, MARKETING &amp; SALES EXPENSES</t>
  </si>
  <si>
    <t>Shipping &amp; Logistics</t>
  </si>
  <si>
    <t>Est. at $0.10 per kg produced</t>
  </si>
  <si>
    <t>Est. at $0.20 per kg produced</t>
  </si>
  <si>
    <t>Est. interest payment on non-land debt (6% on $3mm p.a.)</t>
  </si>
  <si>
    <t>Fertilizer</t>
  </si>
  <si>
    <t>Management, Labour &amp; Administration</t>
  </si>
  <si>
    <t>TOTAL PHYSICAL CAPITAL EXPENDITURE</t>
  </si>
  <si>
    <t>Land Prep</t>
  </si>
  <si>
    <t>LAND PREPARATION &amp; GARDEN ESTABLISHMENT</t>
  </si>
  <si>
    <t>Est. at 33% of ongoing annual operating expenses</t>
  </si>
  <si>
    <t>Est. at 120% of annual operating expenses</t>
  </si>
  <si>
    <t>Physical Capital Expenditures</t>
  </si>
  <si>
    <t>Typical Growing Calendar</t>
  </si>
  <si>
    <t>Free Cash Flow (FCF) Yield</t>
  </si>
  <si>
    <t>Est. all-in cost of Dauenhauer or Wolf picker</t>
  </si>
  <si>
    <t>Hop Picker</t>
  </si>
  <si>
    <t>3 x Flat Bed Drying Kilns</t>
  </si>
  <si>
    <t>Est. cost of $275k per kiln</t>
  </si>
  <si>
    <t>Est. cost contingency</t>
  </si>
  <si>
    <t>Capital Expenditure, Labour, Annual Costs, Administrative Costs, and Interest amounts will vary by farm and should be adjusted accordingly.</t>
  </si>
  <si>
    <t>Assumptions &amp; Notes</t>
  </si>
  <si>
    <t>To avoid incorrect conclusions for any particular situation, closely examine the assumptions used and change them to match your situation</t>
  </si>
  <si>
    <t>All figures are estimates, actual costs will vary; you should adjust figures to represent your specific situation. You may need to add additional rows, including new costs and capital expenditure items to account for your specific situation</t>
  </si>
  <si>
    <t>A hop farm has numerous fixed and semi-fixed costs.  Per hectare costs should be adjusted according to each individual farm size and location.</t>
  </si>
  <si>
    <r>
      <t xml:space="preserve">The </t>
    </r>
    <r>
      <rPr>
        <b/>
        <sz val="11"/>
        <color rgb="FF0000FF"/>
        <rFont val="Calibri"/>
        <family val="2"/>
        <scheme val="minor"/>
      </rPr>
      <t>blue text</t>
    </r>
    <r>
      <rPr>
        <b/>
        <sz val="11"/>
        <color theme="1"/>
        <rFont val="Calibri"/>
        <family val="2"/>
        <scheme val="minor"/>
      </rPr>
      <t xml:space="preserve"> cells are designed to be inputs for either cost, revenue or capital expenditure assumptions and should be adjusted to match the individual situation as appropriate</t>
    </r>
  </si>
  <si>
    <t>The price of packaged hops (gross revenue) varies significantly depending on the varietal, flavour, aroma, customer and market.</t>
  </si>
  <si>
    <t>40 hectares of hop gardens will require more than 40 hectares of land.  A typical minimum assumption is 1.1x the area.</t>
  </si>
  <si>
    <t>Infrastructure costs including garden establishment will vary significantly depending on the site, garden shape and garden dimensions.</t>
  </si>
  <si>
    <t>Equipment purchase will vary significantly by situation, farm size and varietal mix</t>
  </si>
  <si>
    <t>Unanticipated start-up and operating expenses can and frequently do occur</t>
  </si>
  <si>
    <t>Galvanized 7 strand + #9 (erected cost)</t>
  </si>
  <si>
    <t>Structure for conditioning floor, baler, loading area, etc.</t>
  </si>
  <si>
    <t>Irrigation typically begins</t>
  </si>
  <si>
    <t>Est. at $5k/Ha on 25% of area</t>
  </si>
  <si>
    <t>Est. Full time employee</t>
  </si>
  <si>
    <t>Est. at $0.18 per plant + 8% holiday pay (2,750 plants per Ha)</t>
  </si>
  <si>
    <t>Est. at $0.55 per plant + 8% holiday pay (2,750 plants per Ha)</t>
  </si>
  <si>
    <t>Est. at $0.13 per plant + 8% holiday pay (2,750 plants per Ha)</t>
  </si>
  <si>
    <t>Est. cost of part time or contract labour</t>
  </si>
  <si>
    <t>Est. cost of full time or part time or contract labour</t>
  </si>
  <si>
    <t>Est. labour cost</t>
  </si>
  <si>
    <t>Est. materials for drip system</t>
  </si>
  <si>
    <t>Est. $4.75/plant all-in cost for field ready plants</t>
  </si>
  <si>
    <t>Structure for housing picker and associated mechanicals</t>
  </si>
  <si>
    <t>Est. all-in cost for NZ-style or German-style (RB60) baler</t>
  </si>
  <si>
    <t>Diesel/Petrol for equipment</t>
  </si>
  <si>
    <t>Harvest Labour - Skilled</t>
  </si>
  <si>
    <t>Harvest Labour - Unskilled</t>
  </si>
  <si>
    <t>Labour - Irrigation</t>
  </si>
  <si>
    <t xml:space="preserve">Labour-Planting </t>
  </si>
  <si>
    <t xml:space="preserve">Misc. Hardware/Supplies </t>
  </si>
  <si>
    <t>Wire, End poles, middle poles, deadmen, cable clamps, etc.</t>
  </si>
  <si>
    <t>Diesel for boilers</t>
  </si>
  <si>
    <t>Assistant &amp; Additional Fixed Labour</t>
  </si>
  <si>
    <t>Land cost (of debt or leasing) assumed to be 7% per annum on an amount of $2,000,000.  This amount should be adjusted to match the specific situation.</t>
  </si>
  <si>
    <t>7% p.a. on a value/principal amount of $2,000,000</t>
  </si>
  <si>
    <r>
      <t xml:space="preserve">The </t>
    </r>
    <r>
      <rPr>
        <b/>
        <sz val="11"/>
        <color rgb="FF0000FF"/>
        <rFont val="Calibri"/>
        <family val="2"/>
        <scheme val="minor"/>
      </rPr>
      <t>blue text</t>
    </r>
    <r>
      <rPr>
        <sz val="11"/>
        <color theme="1"/>
        <rFont val="Calibri"/>
        <family val="2"/>
        <scheme val="minor"/>
      </rPr>
      <t xml:space="preserve"> cells are designed to be inputs and should be adjusted to match the individual situation</t>
    </r>
  </si>
  <si>
    <t>Total Packaged Kg of T-90s Produced</t>
  </si>
  <si>
    <t>Hectares Under Canopy for Cash Forecast</t>
  </si>
  <si>
    <t>AREA UNDER CANOPY</t>
  </si>
  <si>
    <t>&lt;--- Ha under canopy for cash flow calculations</t>
  </si>
  <si>
    <t>calculations for cash flow</t>
  </si>
  <si>
    <t>Operating Income</t>
  </si>
  <si>
    <t>Operating Income Yield</t>
  </si>
  <si>
    <t>Free Cash Flow (accounting)</t>
  </si>
  <si>
    <t>Company/Corporate Taxes (28%)</t>
  </si>
  <si>
    <t>Breakeven Hops Price ($/kg) before D&amp;A</t>
  </si>
  <si>
    <t>TOTAL OPERATING CAPITALIZED COSTS</t>
  </si>
  <si>
    <t>Total Operating Capital Need</t>
  </si>
  <si>
    <t>Total Operating Capital Need does not factor any land purchases into account.  If purchasing land is anticipated it should be factored into any financial modeling.</t>
  </si>
  <si>
    <t>P&amp;L metrics such as 'Net Income Yield' and 'Operating Income Yield' are calculated on Total Operating Capital and do not factor in land purchase(s).  This should be adjusted if appropriate.</t>
  </si>
  <si>
    <t>This spreadsheet is intended to assist prospective producers to estimate the financial feasibility of producing hops. All figures are estimates, actual costs will vary; you should adjust figures to represent your specific situation. You may need to add additional rows, including new costs and capital expenditure items to account for your specific situation</t>
  </si>
  <si>
    <t>Note No.</t>
  </si>
  <si>
    <t>The information in this spreadsheet is intended to be a general guide for estimating the financial feasibility of a hop farm as of 2019.</t>
  </si>
  <si>
    <t>Typically a smaller farm will have higher per hectare costs and a larger farm will have lower per hectare costs due to the fixed or semi-fixed nature of many operating costs</t>
  </si>
  <si>
    <t>Revenue and crop yield will vary significantly by varieties grown and farm location and should be adjusted to match the specific situation</t>
  </si>
  <si>
    <t>Young hop plants (1st and 2nd year) have significantly higher yield variability than mature plants and are more suceptible to weather extremes or pest management issues</t>
  </si>
  <si>
    <t>This spreadsheet assumes no significant water infrastructure needs to be built and no significant soil remediation or contouring is needed</t>
  </si>
  <si>
    <t>Capital Expenditures are assumed to be funded by a $3,000,000 loan at 6% interest and owner equity.  The interest amount should be adjusted to match the specific situation.</t>
  </si>
  <si>
    <t>Processing, sales and marketing expenses may vary significantly depending on service provider, sales channels, markets and customer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</si>
</sst>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43" formatCode="_(* #,##0.00_);_(* \(#,##0.00\);_(* &quot;-&quot;??_);_(@_)"/>
    <numFmt numFmtId="164" formatCode="0.0%"/>
    <numFmt numFmtId="165" formatCode="#,##0.0"/>
    <numFmt numFmtId="166" formatCode="&quot;$&quot;#,##0.00"/>
    <numFmt numFmtId="167" formatCode="[$-409]mmmm\-yy;@"/>
    <numFmt numFmtId="168" formatCode="_(* #,##0_);_(* \(#,##0\);_(* &quot;-&quot;??_);_(@_)"/>
    <numFmt numFmtId="169" formatCode="mmmm"/>
    <numFmt numFmtId="170" formatCode="&quot;$&quot;#,##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FF"/>
      <name val="Calibri"/>
      <family val="2"/>
    </font>
    <font>
      <sz val="10"/>
      <name val="Arial"/>
      <family val="2"/>
    </font>
    <font>
      <sz val="10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0"/>
      <name val="Calibri"/>
      <family val="2"/>
    </font>
    <font>
      <sz val="10"/>
      <color theme="0" tint="-0.499984740745262"/>
      <name val="Calibri"/>
      <family val="2"/>
    </font>
    <font>
      <sz val="10"/>
      <color rgb="FFC00000"/>
      <name val="Calibri"/>
      <family val="2"/>
    </font>
    <font>
      <b/>
      <sz val="10"/>
      <name val="Calibri"/>
      <family val="2"/>
    </font>
    <font>
      <sz val="10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</font>
    <font>
      <sz val="10"/>
      <color theme="9" tint="-0.249977111117893"/>
      <name val="Calibri"/>
      <family val="2"/>
    </font>
    <font>
      <sz val="10"/>
      <color rgb="FF00B050"/>
      <name val="Calibri"/>
      <family val="2"/>
    </font>
    <font>
      <sz val="10"/>
      <color rgb="FF00CC00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 tint="0.499984740745262"/>
      <name val="Calibri"/>
      <family val="2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0"/>
      <color rgb="FF0000FF"/>
      <name val="Calibri"/>
      <family val="2"/>
    </font>
    <font>
      <b/>
      <i/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9" fontId="5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2" fillId="0" borderId="0"/>
    <xf numFmtId="0" fontId="1" fillId="0" borderId="0"/>
    <xf numFmtId="9" fontId="12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3" fontId="0" fillId="0" borderId="0" xfId="0" applyNumberFormat="1"/>
    <xf numFmtId="0" fontId="4" fillId="0" borderId="0" xfId="0" applyFont="1"/>
    <xf numFmtId="0" fontId="4" fillId="2" borderId="0" xfId="0" applyFont="1" applyFill="1"/>
    <xf numFmtId="0" fontId="4" fillId="0" borderId="0" xfId="0" applyFont="1" applyBorder="1"/>
    <xf numFmtId="0" fontId="3" fillId="0" borderId="0" xfId="0" applyFont="1"/>
    <xf numFmtId="0" fontId="7" fillId="0" borderId="0" xfId="0" applyFont="1"/>
    <xf numFmtId="0" fontId="3" fillId="0" borderId="0" xfId="0" applyFont="1" applyBorder="1"/>
    <xf numFmtId="0" fontId="4" fillId="3" borderId="0" xfId="0" applyFont="1" applyFill="1"/>
    <xf numFmtId="3" fontId="8" fillId="0" borderId="0" xfId="0" applyNumberFormat="1" applyFont="1" applyAlignment="1">
      <alignment horizontal="center"/>
    </xf>
    <xf numFmtId="0" fontId="2" fillId="0" borderId="0" xfId="4"/>
    <xf numFmtId="0" fontId="10" fillId="0" borderId="0" xfId="4" applyFont="1"/>
    <xf numFmtId="3" fontId="10" fillId="0" borderId="0" xfId="4" applyNumberFormat="1" applyFont="1"/>
    <xf numFmtId="0" fontId="9" fillId="0" borderId="0" xfId="4" applyFont="1"/>
    <xf numFmtId="3" fontId="9" fillId="0" borderId="0" xfId="4" applyNumberFormat="1" applyFont="1"/>
    <xf numFmtId="0" fontId="7" fillId="3" borderId="0" xfId="0" applyFont="1" applyFill="1"/>
    <xf numFmtId="3" fontId="2" fillId="0" borderId="0" xfId="4" applyNumberFormat="1"/>
    <xf numFmtId="3" fontId="10" fillId="0" borderId="1" xfId="4" applyNumberFormat="1" applyFont="1" applyBorder="1"/>
    <xf numFmtId="0" fontId="9" fillId="0" borderId="3" xfId="4" applyFont="1" applyBorder="1"/>
    <xf numFmtId="3" fontId="9" fillId="0" borderId="3" xfId="4" applyNumberFormat="1" applyFont="1" applyBorder="1"/>
    <xf numFmtId="3" fontId="10" fillId="0" borderId="0" xfId="4" applyNumberFormat="1" applyFont="1" applyBorder="1"/>
    <xf numFmtId="0" fontId="10" fillId="0" borderId="1" xfId="4" applyFont="1" applyBorder="1"/>
    <xf numFmtId="0" fontId="10" fillId="0" borderId="0" xfId="0" applyFont="1"/>
    <xf numFmtId="3" fontId="3" fillId="0" borderId="0" xfId="0" applyNumberFormat="1" applyFont="1"/>
    <xf numFmtId="3" fontId="13" fillId="0" borderId="0" xfId="0" applyNumberFormat="1" applyFont="1"/>
    <xf numFmtId="0" fontId="7" fillId="2" borderId="0" xfId="0" applyFont="1" applyFill="1"/>
    <xf numFmtId="3" fontId="3" fillId="2" borderId="0" xfId="0" applyNumberFormat="1" applyFont="1" applyFill="1" applyAlignment="1">
      <alignment horizontal="centerContinuous"/>
    </xf>
    <xf numFmtId="0" fontId="3" fillId="2" borderId="0" xfId="0" applyFont="1" applyFill="1"/>
    <xf numFmtId="3" fontId="3" fillId="3" borderId="0" xfId="0" applyNumberFormat="1" applyFont="1" applyFill="1"/>
    <xf numFmtId="0" fontId="3" fillId="3" borderId="0" xfId="0" applyFont="1" applyFill="1"/>
    <xf numFmtId="3" fontId="14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3" fontId="15" fillId="0" borderId="0" xfId="4" applyNumberFormat="1" applyFont="1"/>
    <xf numFmtId="3" fontId="16" fillId="0" borderId="0" xfId="4" applyNumberFormat="1" applyFont="1" applyAlignment="1">
      <alignment horizontal="center"/>
    </xf>
    <xf numFmtId="3" fontId="18" fillId="0" borderId="0" xfId="4" applyNumberFormat="1" applyFont="1"/>
    <xf numFmtId="0" fontId="16" fillId="0" borderId="0" xfId="4" applyFont="1" applyAlignment="1">
      <alignment horizontal="center"/>
    </xf>
    <xf numFmtId="0" fontId="11" fillId="0" borderId="4" xfId="0" applyFont="1" applyBorder="1" applyAlignment="1">
      <alignment horizontal="right" vertical="center"/>
    </xf>
    <xf numFmtId="167" fontId="10" fillId="0" borderId="0" xfId="0" applyNumberFormat="1" applyFont="1"/>
    <xf numFmtId="0" fontId="21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1" fillId="0" borderId="4" xfId="0" applyFont="1" applyBorder="1"/>
    <xf numFmtId="0" fontId="24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68" fontId="10" fillId="0" borderId="0" xfId="10" applyNumberFormat="1" applyFont="1"/>
    <xf numFmtId="0" fontId="8" fillId="3" borderId="0" xfId="0" applyFont="1" applyFill="1"/>
    <xf numFmtId="0" fontId="13" fillId="2" borderId="0" xfId="0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right"/>
    </xf>
    <xf numFmtId="3" fontId="19" fillId="0" borderId="0" xfId="0" applyNumberFormat="1" applyFont="1" applyAlignment="1">
      <alignment horizontal="center"/>
    </xf>
    <xf numFmtId="0" fontId="0" fillId="0" borderId="0" xfId="0" applyFill="1"/>
    <xf numFmtId="0" fontId="22" fillId="0" borderId="0" xfId="0" applyFont="1" applyFill="1" applyAlignment="1">
      <alignment horizontal="right" vertical="center"/>
    </xf>
    <xf numFmtId="0" fontId="25" fillId="0" borderId="0" xfId="0" applyFont="1"/>
    <xf numFmtId="164" fontId="16" fillId="0" borderId="0" xfId="1" applyNumberFormat="1" applyFont="1"/>
    <xf numFmtId="3" fontId="15" fillId="0" borderId="1" xfId="4" applyNumberFormat="1" applyFont="1" applyBorder="1"/>
    <xf numFmtId="0" fontId="18" fillId="0" borderId="0" xfId="4" applyFont="1"/>
    <xf numFmtId="169" fontId="9" fillId="0" borderId="0" xfId="0" applyNumberFormat="1" applyFont="1"/>
    <xf numFmtId="169" fontId="9" fillId="0" borderId="0" xfId="0" applyNumberFormat="1" applyFont="1" applyFill="1"/>
    <xf numFmtId="0" fontId="7" fillId="0" borderId="2" xfId="0" applyFont="1" applyBorder="1"/>
    <xf numFmtId="3" fontId="9" fillId="0" borderId="2" xfId="4" applyNumberFormat="1" applyFont="1" applyBorder="1"/>
    <xf numFmtId="9" fontId="14" fillId="0" borderId="0" xfId="1" applyFont="1" applyAlignment="1">
      <alignment horizontal="center"/>
    </xf>
    <xf numFmtId="0" fontId="9" fillId="2" borderId="1" xfId="4" applyFont="1" applyFill="1" applyBorder="1" applyAlignment="1">
      <alignment horizontal="left"/>
    </xf>
    <xf numFmtId="0" fontId="9" fillId="2" borderId="1" xfId="4" applyFont="1" applyFill="1" applyBorder="1" applyAlignment="1">
      <alignment horizontal="center"/>
    </xf>
    <xf numFmtId="4" fontId="27" fillId="0" borderId="0" xfId="4" applyNumberFormat="1" applyFont="1" applyBorder="1"/>
    <xf numFmtId="3" fontId="27" fillId="0" borderId="0" xfId="4" applyNumberFormat="1" applyFont="1" applyBorder="1"/>
    <xf numFmtId="0" fontId="27" fillId="0" borderId="0" xfId="4" applyFont="1"/>
    <xf numFmtId="164" fontId="27" fillId="0" borderId="0" xfId="1" applyNumberFormat="1" applyFont="1"/>
    <xf numFmtId="166" fontId="27" fillId="0" borderId="0" xfId="1" applyNumberFormat="1" applyFont="1"/>
    <xf numFmtId="3" fontId="28" fillId="0" borderId="0" xfId="0" applyNumberFormat="1" applyFont="1" applyAlignment="1">
      <alignment horizontal="center"/>
    </xf>
    <xf numFmtId="0" fontId="29" fillId="0" borderId="0" xfId="0" applyFont="1"/>
    <xf numFmtId="3" fontId="29" fillId="0" borderId="0" xfId="0" applyNumberFormat="1" applyFont="1"/>
    <xf numFmtId="165" fontId="15" fillId="0" borderId="0" xfId="4" applyNumberFormat="1" applyFont="1" applyAlignment="1">
      <alignment horizontal="right"/>
    </xf>
    <xf numFmtId="0" fontId="26" fillId="2" borderId="0" xfId="4" applyFont="1" applyFill="1"/>
    <xf numFmtId="0" fontId="2" fillId="2" borderId="0" xfId="4" applyFill="1"/>
    <xf numFmtId="0" fontId="20" fillId="2" borderId="1" xfId="0" applyFont="1" applyFill="1" applyBorder="1"/>
    <xf numFmtId="0" fontId="0" fillId="0" borderId="0" xfId="0" applyAlignment="1">
      <alignment wrapText="1"/>
    </xf>
    <xf numFmtId="0" fontId="20" fillId="4" borderId="0" xfId="0" applyFont="1" applyFill="1" applyAlignment="1">
      <alignment wrapText="1"/>
    </xf>
    <xf numFmtId="0" fontId="20" fillId="0" borderId="0" xfId="0" applyFont="1" applyAlignment="1">
      <alignment horizontal="center"/>
    </xf>
    <xf numFmtId="0" fontId="20" fillId="3" borderId="0" xfId="0" applyFont="1" applyFill="1" applyAlignment="1">
      <alignment wrapText="1"/>
    </xf>
    <xf numFmtId="0" fontId="20" fillId="0" borderId="0" xfId="0" applyFont="1" applyAlignment="1">
      <alignment wrapText="1"/>
    </xf>
    <xf numFmtId="0" fontId="0" fillId="0" borderId="0" xfId="0" applyFont="1" applyAlignment="1"/>
    <xf numFmtId="3" fontId="31" fillId="0" borderId="0" xfId="4" applyNumberFormat="1" applyFont="1" applyAlignment="1">
      <alignment horizontal="center"/>
    </xf>
    <xf numFmtId="7" fontId="31" fillId="0" borderId="0" xfId="4" applyNumberFormat="1" applyFont="1" applyAlignment="1">
      <alignment horizontal="center"/>
    </xf>
    <xf numFmtId="170" fontId="9" fillId="3" borderId="0" xfId="4" applyNumberFormat="1" applyFont="1" applyFill="1"/>
    <xf numFmtId="0" fontId="32" fillId="2" borderId="0" xfId="0" applyFont="1" applyFill="1" applyAlignment="1">
      <alignment horizontal="right"/>
    </xf>
    <xf numFmtId="0" fontId="34" fillId="2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centerContinuous"/>
    </xf>
    <xf numFmtId="0" fontId="3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5" fillId="0" borderId="0" xfId="0" applyFont="1" applyFill="1" applyAlignment="1">
      <alignment horizontal="left"/>
    </xf>
    <xf numFmtId="3" fontId="8" fillId="0" borderId="0" xfId="0" applyNumberFormat="1" applyFont="1" applyAlignment="1">
      <alignment horizontal="left"/>
    </xf>
    <xf numFmtId="3" fontId="27" fillId="0" borderId="0" xfId="4" applyNumberFormat="1" applyFont="1"/>
    <xf numFmtId="0" fontId="36" fillId="0" borderId="0" xfId="0" applyFont="1" applyAlignment="1">
      <alignment horizontal="center"/>
    </xf>
    <xf numFmtId="0" fontId="36" fillId="3" borderId="0" xfId="0" applyFont="1" applyFill="1" applyAlignment="1">
      <alignment wrapText="1"/>
    </xf>
    <xf numFmtId="0" fontId="20" fillId="4" borderId="0" xfId="0" applyFont="1" applyFill="1" applyAlignment="1">
      <alignment horizontal="left" vertical="top" wrapText="1"/>
    </xf>
  </cellXfs>
  <cellStyles count="11">
    <cellStyle name="Comma" xfId="10" builtinId="3"/>
    <cellStyle name="Normal" xfId="0" builtinId="0"/>
    <cellStyle name="Normal 2" xfId="2" xr:uid="{00000000-0005-0000-0000-000002000000}"/>
    <cellStyle name="Normal 2 2" xfId="6" xr:uid="{00000000-0005-0000-0000-000003000000}"/>
    <cellStyle name="Normal 2 3" xfId="9" xr:uid="{00000000-0005-0000-0000-000004000000}"/>
    <cellStyle name="Normal 3" xfId="4" xr:uid="{00000000-0005-0000-0000-000005000000}"/>
    <cellStyle name="Normal 4" xfId="7" xr:uid="{00000000-0005-0000-0000-000006000000}"/>
    <cellStyle name="Percent" xfId="1" builtinId="5"/>
    <cellStyle name="Percent 2" xfId="3" xr:uid="{00000000-0005-0000-0000-000008000000}"/>
    <cellStyle name="Percent 3" xfId="5" xr:uid="{00000000-0005-0000-0000-000009000000}"/>
    <cellStyle name="Percent 3 2" xfId="8" xr:uid="{00000000-0005-0000-0000-00000A000000}"/>
  </cellStyles>
  <dxfs count="0"/>
  <tableStyles count="0" defaultTableStyle="TableStyleMedium2" defaultPivotStyle="PivotStyleLight16"/>
  <colors>
    <mruColors>
      <color rgb="FF0000FF"/>
      <color rgb="FF00FFFF"/>
      <color rgb="FF66FF33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342900</xdr:colOff>
      <xdr:row>42</xdr:row>
      <xdr:rowOff>171450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D6E1408-C36A-4A33-B595-64B072FC6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15</xdr:col>
      <xdr:colOff>342900</xdr:colOff>
      <xdr:row>85</xdr:row>
      <xdr:rowOff>171450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7890FFA-8F3E-4E60-999E-5A39D1931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781925"/>
          <a:ext cx="10058400" cy="7772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46</xdr:row>
      <xdr:rowOff>95250</xdr:rowOff>
    </xdr:from>
    <xdr:to>
      <xdr:col>4</xdr:col>
      <xdr:colOff>819150</xdr:colOff>
      <xdr:row>51</xdr:row>
      <xdr:rowOff>9525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601325" y="10953750"/>
          <a:ext cx="1438275" cy="866775"/>
        </a:xfrm>
        <a:prstGeom prst="leftBrace">
          <a:avLst>
            <a:gd name="adj1" fmla="val 8333"/>
            <a:gd name="adj2" fmla="val 44505"/>
          </a:avLst>
        </a:prstGeom>
        <a:ln>
          <a:solidFill>
            <a:srgbClr val="C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46</xdr:row>
      <xdr:rowOff>95249</xdr:rowOff>
    </xdr:from>
    <xdr:to>
      <xdr:col>5</xdr:col>
      <xdr:colOff>100965</xdr:colOff>
      <xdr:row>51</xdr:row>
      <xdr:rowOff>11429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172950" y="10953749"/>
          <a:ext cx="91440" cy="868680"/>
        </a:xfrm>
        <a:prstGeom prst="rect">
          <a:avLst/>
        </a:prstGeom>
        <a:solidFill>
          <a:srgbClr val="C00000">
            <a:alpha val="5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3</xdr:row>
      <xdr:rowOff>9524</xdr:rowOff>
    </xdr:from>
    <xdr:to>
      <xdr:col>5</xdr:col>
      <xdr:colOff>100965</xdr:colOff>
      <xdr:row>24</xdr:row>
      <xdr:rowOff>123824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172950" y="2676524"/>
          <a:ext cx="91440" cy="4114800"/>
        </a:xfrm>
        <a:prstGeom prst="rect">
          <a:avLst/>
        </a:prstGeom>
        <a:solidFill>
          <a:schemeClr val="tx1">
            <a:lumMod val="50000"/>
            <a:lumOff val="50000"/>
            <a:alpha val="50196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76200</xdr:colOff>
      <xdr:row>3</xdr:row>
      <xdr:rowOff>9525</xdr:rowOff>
    </xdr:from>
    <xdr:to>
      <xdr:col>4</xdr:col>
      <xdr:colOff>819150</xdr:colOff>
      <xdr:row>24</xdr:row>
      <xdr:rowOff>114300</xdr:rowOff>
    </xdr:to>
    <xdr:sp macro="" textlink="">
      <xdr:nvSpPr>
        <xdr:cNvPr id="5" name="Left Brac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601325" y="2676525"/>
          <a:ext cx="1438275" cy="4105275"/>
        </a:xfrm>
        <a:prstGeom prst="leftBrace">
          <a:avLst>
            <a:gd name="adj1" fmla="val 8333"/>
            <a:gd name="adj2" fmla="val 44041"/>
          </a:avLst>
        </a:prstGeom>
        <a:ln>
          <a:solidFill>
            <a:schemeClr val="tx1">
              <a:lumMod val="50000"/>
              <a:lumOff val="50000"/>
            </a:schemeClr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24</xdr:row>
      <xdr:rowOff>123824</xdr:rowOff>
    </xdr:from>
    <xdr:to>
      <xdr:col>5</xdr:col>
      <xdr:colOff>100965</xdr:colOff>
      <xdr:row>30</xdr:row>
      <xdr:rowOff>169544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172950" y="6791324"/>
          <a:ext cx="91440" cy="1188720"/>
        </a:xfrm>
        <a:prstGeom prst="rect">
          <a:avLst/>
        </a:prstGeom>
        <a:solidFill>
          <a:schemeClr val="accent6">
            <a:alpha val="50196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76200</xdr:colOff>
      <xdr:row>24</xdr:row>
      <xdr:rowOff>123825</xdr:rowOff>
    </xdr:from>
    <xdr:to>
      <xdr:col>4</xdr:col>
      <xdr:colOff>819150</xdr:colOff>
      <xdr:row>30</xdr:row>
      <xdr:rowOff>161925</xdr:rowOff>
    </xdr:to>
    <xdr:sp macro="" textlink="">
      <xdr:nvSpPr>
        <xdr:cNvPr id="7" name="Left Brac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0601325" y="6791325"/>
          <a:ext cx="1438275" cy="1181100"/>
        </a:xfrm>
        <a:prstGeom prst="leftBrace">
          <a:avLst>
            <a:gd name="adj1" fmla="val 8333"/>
            <a:gd name="adj2" fmla="val 46924"/>
          </a:avLst>
        </a:prstGeom>
        <a:ln>
          <a:solidFill>
            <a:schemeClr val="accent6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30</xdr:row>
      <xdr:rowOff>171449</xdr:rowOff>
    </xdr:from>
    <xdr:to>
      <xdr:col>5</xdr:col>
      <xdr:colOff>100965</xdr:colOff>
      <xdr:row>39</xdr:row>
      <xdr:rowOff>11429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172950" y="7981949"/>
          <a:ext cx="91440" cy="1554480"/>
        </a:xfrm>
        <a:prstGeom prst="rect">
          <a:avLst/>
        </a:prstGeom>
        <a:solidFill>
          <a:srgbClr val="00B050">
            <a:alpha val="5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76200</xdr:colOff>
      <xdr:row>30</xdr:row>
      <xdr:rowOff>171450</xdr:rowOff>
    </xdr:from>
    <xdr:to>
      <xdr:col>4</xdr:col>
      <xdr:colOff>819150</xdr:colOff>
      <xdr:row>39</xdr:row>
      <xdr:rowOff>0</xdr:rowOff>
    </xdr:to>
    <xdr:sp macro="" textlink="">
      <xdr:nvSpPr>
        <xdr:cNvPr id="9" name="Left Brac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601325" y="7981950"/>
          <a:ext cx="1438275" cy="1543050"/>
        </a:xfrm>
        <a:prstGeom prst="leftBrace">
          <a:avLst>
            <a:gd name="adj1" fmla="val 8333"/>
            <a:gd name="adj2" fmla="val 44455"/>
          </a:avLst>
        </a:prstGeom>
        <a:ln>
          <a:solidFill>
            <a:srgbClr val="00B05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39</xdr:row>
      <xdr:rowOff>9524</xdr:rowOff>
    </xdr:from>
    <xdr:to>
      <xdr:col>5</xdr:col>
      <xdr:colOff>100965</xdr:colOff>
      <xdr:row>46</xdr:row>
      <xdr:rowOff>93344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172950" y="9534524"/>
          <a:ext cx="91440" cy="1417320"/>
        </a:xfrm>
        <a:prstGeom prst="rect">
          <a:avLst/>
        </a:prstGeom>
        <a:solidFill>
          <a:srgbClr val="00FF00">
            <a:alpha val="4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76200</xdr:colOff>
      <xdr:row>39</xdr:row>
      <xdr:rowOff>9525</xdr:rowOff>
    </xdr:from>
    <xdr:to>
      <xdr:col>4</xdr:col>
      <xdr:colOff>819150</xdr:colOff>
      <xdr:row>46</xdr:row>
      <xdr:rowOff>95250</xdr:rowOff>
    </xdr:to>
    <xdr:sp macro="" textlink="">
      <xdr:nvSpPr>
        <xdr:cNvPr id="11" name="Left Brac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601325" y="9534525"/>
          <a:ext cx="1438275" cy="1419225"/>
        </a:xfrm>
        <a:prstGeom prst="leftBrace">
          <a:avLst>
            <a:gd name="adj1" fmla="val 8333"/>
            <a:gd name="adj2" fmla="val 46468"/>
          </a:avLst>
        </a:prstGeom>
        <a:ln>
          <a:solidFill>
            <a:srgbClr val="00FF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12</xdr:col>
      <xdr:colOff>9525</xdr:colOff>
      <xdr:row>8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0897F27-388F-4FB0-AF59-FB0F21A8DD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77" b="79829"/>
        <a:stretch/>
      </xdr:blipFill>
      <xdr:spPr>
        <a:xfrm>
          <a:off x="9525" y="28575"/>
          <a:ext cx="7772400" cy="144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A4DFF-88C0-4A1F-83B4-273336FD6E34}">
  <dimension ref="A1"/>
  <sheetViews>
    <sheetView tabSelected="1" workbookViewId="0">
      <selection activeCell="Q40" sqref="Q40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362D9-E58B-4F08-A9DC-A5FE68E15CC7}">
  <dimension ref="A2:B32"/>
  <sheetViews>
    <sheetView workbookViewId="0">
      <selection activeCell="B3" sqref="B3"/>
    </sheetView>
  </sheetViews>
  <sheetFormatPr defaultRowHeight="14.25" x14ac:dyDescent="0.45"/>
  <cols>
    <col min="1" max="1" width="10.59765625" customWidth="1"/>
    <col min="2" max="2" width="150.59765625" customWidth="1"/>
  </cols>
  <sheetData>
    <row r="2" spans="1:2" x14ac:dyDescent="0.45">
      <c r="A2" s="92" t="s">
        <v>199</v>
      </c>
      <c r="B2" s="77" t="s">
        <v>147</v>
      </c>
    </row>
    <row r="3" spans="1:2" ht="28.5" x14ac:dyDescent="0.45">
      <c r="B3" s="75" t="s">
        <v>198</v>
      </c>
    </row>
    <row r="4" spans="1:2" x14ac:dyDescent="0.45">
      <c r="A4" s="76"/>
      <c r="B4" s="74"/>
    </row>
    <row r="5" spans="1:2" x14ac:dyDescent="0.45">
      <c r="A5" s="76"/>
      <c r="B5" s="78" t="s">
        <v>200</v>
      </c>
    </row>
    <row r="6" spans="1:2" x14ac:dyDescent="0.45">
      <c r="A6" s="76"/>
      <c r="B6" s="74"/>
    </row>
    <row r="7" spans="1:2" x14ac:dyDescent="0.45">
      <c r="A7" s="76"/>
      <c r="B7" s="78" t="s">
        <v>151</v>
      </c>
    </row>
    <row r="8" spans="1:2" x14ac:dyDescent="0.45">
      <c r="A8" s="76"/>
    </row>
    <row r="9" spans="1:2" x14ac:dyDescent="0.45">
      <c r="A9" s="76"/>
      <c r="B9" s="78" t="s">
        <v>148</v>
      </c>
    </row>
    <row r="10" spans="1:2" x14ac:dyDescent="0.45">
      <c r="A10" s="76"/>
    </row>
    <row r="11" spans="1:2" x14ac:dyDescent="0.45">
      <c r="A11" s="91">
        <v>1</v>
      </c>
      <c r="B11" s="74" t="s">
        <v>146</v>
      </c>
    </row>
    <row r="12" spans="1:2" x14ac:dyDescent="0.45">
      <c r="A12" s="91">
        <v>2</v>
      </c>
      <c r="B12" s="74" t="s">
        <v>150</v>
      </c>
    </row>
    <row r="13" spans="1:2" x14ac:dyDescent="0.45">
      <c r="A13" s="91">
        <v>3</v>
      </c>
      <c r="B13" s="74" t="s">
        <v>201</v>
      </c>
    </row>
    <row r="14" spans="1:2" x14ac:dyDescent="0.45">
      <c r="A14" s="91">
        <v>4</v>
      </c>
      <c r="B14" s="74" t="s">
        <v>202</v>
      </c>
    </row>
    <row r="15" spans="1:2" x14ac:dyDescent="0.45">
      <c r="A15" s="91">
        <v>5</v>
      </c>
      <c r="B15" s="74" t="s">
        <v>152</v>
      </c>
    </row>
    <row r="16" spans="1:2" x14ac:dyDescent="0.45">
      <c r="A16" s="91">
        <v>6</v>
      </c>
      <c r="B16" s="74" t="s">
        <v>153</v>
      </c>
    </row>
    <row r="17" spans="1:2" x14ac:dyDescent="0.45">
      <c r="A17" s="91">
        <v>7</v>
      </c>
      <c r="B17" s="74" t="s">
        <v>154</v>
      </c>
    </row>
    <row r="18" spans="1:2" x14ac:dyDescent="0.45">
      <c r="A18" s="91">
        <v>8</v>
      </c>
      <c r="B18" s="74" t="s">
        <v>155</v>
      </c>
    </row>
    <row r="19" spans="1:2" x14ac:dyDescent="0.45">
      <c r="A19" s="91">
        <v>9</v>
      </c>
      <c r="B19" s="74" t="s">
        <v>156</v>
      </c>
    </row>
    <row r="20" spans="1:2" x14ac:dyDescent="0.45">
      <c r="A20" s="91">
        <v>10</v>
      </c>
      <c r="B20" s="74" t="s">
        <v>203</v>
      </c>
    </row>
    <row r="21" spans="1:2" x14ac:dyDescent="0.45">
      <c r="A21" s="91">
        <v>11</v>
      </c>
      <c r="B21" s="74" t="s">
        <v>204</v>
      </c>
    </row>
    <row r="22" spans="1:2" x14ac:dyDescent="0.45">
      <c r="A22" s="91">
        <v>12</v>
      </c>
      <c r="B22" s="74" t="s">
        <v>205</v>
      </c>
    </row>
    <row r="23" spans="1:2" x14ac:dyDescent="0.45">
      <c r="A23" s="91">
        <v>13</v>
      </c>
      <c r="B23" s="74" t="s">
        <v>181</v>
      </c>
    </row>
    <row r="24" spans="1:2" x14ac:dyDescent="0.45">
      <c r="A24" s="91">
        <v>14</v>
      </c>
      <c r="B24" s="74" t="s">
        <v>206</v>
      </c>
    </row>
    <row r="25" spans="1:2" x14ac:dyDescent="0.45">
      <c r="A25" s="91">
        <v>15</v>
      </c>
      <c r="B25" s="74" t="s">
        <v>196</v>
      </c>
    </row>
    <row r="26" spans="1:2" x14ac:dyDescent="0.45">
      <c r="A26" s="91">
        <v>16</v>
      </c>
      <c r="B26" s="74" t="s">
        <v>197</v>
      </c>
    </row>
    <row r="27" spans="1:2" x14ac:dyDescent="0.45">
      <c r="B27" s="74"/>
    </row>
    <row r="28" spans="1:2" x14ac:dyDescent="0.45">
      <c r="B28" s="74"/>
    </row>
    <row r="29" spans="1:2" x14ac:dyDescent="0.45">
      <c r="B29" s="74"/>
    </row>
    <row r="32" spans="1:2" x14ac:dyDescent="0.45">
      <c r="B32" s="7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51"/>
  <sheetViews>
    <sheetView zoomScaleNormal="100" workbookViewId="0">
      <selection activeCell="H4" sqref="H4"/>
    </sheetView>
  </sheetViews>
  <sheetFormatPr defaultRowHeight="14.25" x14ac:dyDescent="0.45"/>
  <cols>
    <col min="4" max="4" width="10.06640625" customWidth="1"/>
    <col min="5" max="5" width="10.59765625" customWidth="1"/>
    <col min="6" max="6" width="4.59765625" customWidth="1"/>
    <col min="7" max="7" width="51.1328125" bestFit="1" customWidth="1"/>
  </cols>
  <sheetData>
    <row r="2" spans="2:8" x14ac:dyDescent="0.45">
      <c r="B2" s="73" t="s">
        <v>139</v>
      </c>
      <c r="C2" s="73"/>
      <c r="D2" s="73"/>
      <c r="E2" s="73"/>
      <c r="F2" s="73"/>
      <c r="G2" s="73"/>
      <c r="H2" s="73"/>
    </row>
    <row r="4" spans="2:8" x14ac:dyDescent="0.45">
      <c r="E4" s="55">
        <v>42461</v>
      </c>
      <c r="F4" s="36" t="s">
        <v>46</v>
      </c>
      <c r="G4" s="22" t="s">
        <v>47</v>
      </c>
      <c r="H4" s="37"/>
    </row>
    <row r="5" spans="2:8" x14ac:dyDescent="0.45">
      <c r="E5" s="55"/>
      <c r="F5" s="36"/>
    </row>
    <row r="6" spans="2:8" ht="15.75" customHeight="1" x14ac:dyDescent="0.45">
      <c r="E6" s="55"/>
      <c r="F6" s="36"/>
    </row>
    <row r="7" spans="2:8" x14ac:dyDescent="0.45">
      <c r="E7" s="55"/>
      <c r="F7" s="36"/>
    </row>
    <row r="8" spans="2:8" x14ac:dyDescent="0.45">
      <c r="E8" s="55">
        <f>EOMONTH(E4,0)+1</f>
        <v>42491</v>
      </c>
      <c r="F8" s="36" t="s">
        <v>46</v>
      </c>
      <c r="G8" s="22" t="s">
        <v>48</v>
      </c>
      <c r="H8" s="37"/>
    </row>
    <row r="9" spans="2:8" x14ac:dyDescent="0.45">
      <c r="E9" s="55"/>
      <c r="F9" s="36" t="s">
        <v>46</v>
      </c>
      <c r="G9" s="22" t="s">
        <v>49</v>
      </c>
      <c r="H9" s="37"/>
    </row>
    <row r="10" spans="2:8" x14ac:dyDescent="0.45">
      <c r="E10" s="55"/>
      <c r="F10" s="36"/>
    </row>
    <row r="11" spans="2:8" x14ac:dyDescent="0.45">
      <c r="E11" s="55"/>
      <c r="F11" s="36"/>
    </row>
    <row r="12" spans="2:8" x14ac:dyDescent="0.45">
      <c r="E12" s="55">
        <f>EOMONTH(E8,0)+1</f>
        <v>42522</v>
      </c>
      <c r="F12" s="36" t="s">
        <v>46</v>
      </c>
      <c r="G12" s="22" t="s">
        <v>50</v>
      </c>
      <c r="H12" s="37"/>
    </row>
    <row r="13" spans="2:8" x14ac:dyDescent="0.45">
      <c r="C13" s="38" t="s">
        <v>51</v>
      </c>
      <c r="E13" s="55"/>
      <c r="F13" s="36" t="s">
        <v>46</v>
      </c>
      <c r="G13" s="22" t="s">
        <v>52</v>
      </c>
    </row>
    <row r="14" spans="2:8" x14ac:dyDescent="0.45">
      <c r="E14" s="55"/>
      <c r="F14" s="36"/>
    </row>
    <row r="15" spans="2:8" x14ac:dyDescent="0.45">
      <c r="E15" s="55"/>
      <c r="F15" s="36"/>
    </row>
    <row r="16" spans="2:8" x14ac:dyDescent="0.45">
      <c r="E16" s="55">
        <f>EOMONTH(E12,0)+1</f>
        <v>42552</v>
      </c>
      <c r="F16" s="36" t="s">
        <v>46</v>
      </c>
      <c r="G16" s="22" t="s">
        <v>50</v>
      </c>
      <c r="H16" s="37"/>
    </row>
    <row r="17" spans="2:8" x14ac:dyDescent="0.45">
      <c r="E17" s="55"/>
      <c r="F17" s="36" t="s">
        <v>46</v>
      </c>
      <c r="G17" s="22" t="s">
        <v>52</v>
      </c>
    </row>
    <row r="18" spans="2:8" x14ac:dyDescent="0.45">
      <c r="E18" s="55"/>
      <c r="F18" s="36"/>
    </row>
    <row r="19" spans="2:8" x14ac:dyDescent="0.45">
      <c r="E19" s="55"/>
      <c r="F19" s="36"/>
    </row>
    <row r="20" spans="2:8" x14ac:dyDescent="0.45">
      <c r="E20" s="56">
        <f>EOMONTH(E16,0)+1</f>
        <v>42583</v>
      </c>
      <c r="F20" s="36" t="s">
        <v>46</v>
      </c>
      <c r="G20" s="22" t="s">
        <v>53</v>
      </c>
      <c r="H20" s="37"/>
    </row>
    <row r="21" spans="2:8" x14ac:dyDescent="0.45">
      <c r="E21" s="55"/>
      <c r="F21" s="36" t="s">
        <v>46</v>
      </c>
      <c r="G21" s="22" t="s">
        <v>52</v>
      </c>
    </row>
    <row r="22" spans="2:8" x14ac:dyDescent="0.45">
      <c r="E22" s="55"/>
      <c r="F22" s="36" t="s">
        <v>46</v>
      </c>
      <c r="G22" s="22" t="s">
        <v>72</v>
      </c>
    </row>
    <row r="23" spans="2:8" x14ac:dyDescent="0.45">
      <c r="E23" s="55"/>
      <c r="F23" s="36" t="s">
        <v>46</v>
      </c>
      <c r="G23" s="22" t="s">
        <v>73</v>
      </c>
      <c r="H23" s="37"/>
    </row>
    <row r="24" spans="2:8" x14ac:dyDescent="0.45">
      <c r="B24" s="49"/>
      <c r="C24" s="49"/>
      <c r="D24" s="49"/>
      <c r="E24" s="56">
        <f>EOMONTH(E20,0)+1</f>
        <v>42614</v>
      </c>
      <c r="F24" s="36"/>
      <c r="G24" s="22"/>
      <c r="H24" s="37"/>
    </row>
    <row r="25" spans="2:8" x14ac:dyDescent="0.45">
      <c r="E25" s="55"/>
      <c r="F25" s="36"/>
      <c r="G25" s="22"/>
      <c r="H25" s="37"/>
    </row>
    <row r="26" spans="2:8" x14ac:dyDescent="0.45">
      <c r="E26" s="55"/>
      <c r="F26" s="36" t="s">
        <v>46</v>
      </c>
      <c r="G26" s="22" t="s">
        <v>55</v>
      </c>
      <c r="H26" s="37"/>
    </row>
    <row r="27" spans="2:8" x14ac:dyDescent="0.45">
      <c r="E27" s="55"/>
      <c r="F27" s="36"/>
    </row>
    <row r="28" spans="2:8" x14ac:dyDescent="0.45">
      <c r="B28" s="49"/>
      <c r="C28" s="50" t="s">
        <v>54</v>
      </c>
      <c r="D28" s="49"/>
      <c r="E28" s="56">
        <f>EOMONTH(E24,0)+1</f>
        <v>42644</v>
      </c>
      <c r="F28" s="36" t="s">
        <v>46</v>
      </c>
      <c r="G28" s="22" t="s">
        <v>57</v>
      </c>
      <c r="H28" s="37"/>
    </row>
    <row r="29" spans="2:8" x14ac:dyDescent="0.45">
      <c r="E29" s="55"/>
      <c r="F29" s="36"/>
      <c r="G29" s="22"/>
      <c r="H29" s="37"/>
    </row>
    <row r="30" spans="2:8" x14ac:dyDescent="0.45">
      <c r="E30" s="55"/>
      <c r="F30" s="36" t="s">
        <v>46</v>
      </c>
      <c r="G30" s="22" t="s">
        <v>56</v>
      </c>
      <c r="H30" s="37"/>
    </row>
    <row r="31" spans="2:8" x14ac:dyDescent="0.45">
      <c r="E31" s="55"/>
      <c r="F31" s="36"/>
      <c r="G31" s="22"/>
      <c r="H31" s="37"/>
    </row>
    <row r="32" spans="2:8" x14ac:dyDescent="0.45">
      <c r="E32" s="55">
        <f>EOMONTH(E28,0)+1</f>
        <v>42675</v>
      </c>
      <c r="F32" s="36" t="s">
        <v>46</v>
      </c>
      <c r="G32" s="22" t="s">
        <v>58</v>
      </c>
      <c r="H32" s="37"/>
    </row>
    <row r="33" spans="2:8" x14ac:dyDescent="0.45">
      <c r="E33" s="55"/>
      <c r="F33" s="36" t="s">
        <v>46</v>
      </c>
      <c r="G33" s="22" t="s">
        <v>59</v>
      </c>
      <c r="H33" s="37"/>
    </row>
    <row r="34" spans="2:8" x14ac:dyDescent="0.45">
      <c r="E34" s="55"/>
      <c r="F34" s="36"/>
      <c r="G34" s="22"/>
      <c r="H34" s="37"/>
    </row>
    <row r="35" spans="2:8" x14ac:dyDescent="0.45">
      <c r="C35" s="39" t="s">
        <v>60</v>
      </c>
      <c r="E35" s="55"/>
      <c r="F35" s="36" t="s">
        <v>46</v>
      </c>
      <c r="G35" s="22" t="s">
        <v>71</v>
      </c>
      <c r="H35" s="37"/>
    </row>
    <row r="36" spans="2:8" x14ac:dyDescent="0.45">
      <c r="E36" s="55">
        <f>EOMONTH(E32,0)+1</f>
        <v>42705</v>
      </c>
      <c r="F36" s="36" t="s">
        <v>46</v>
      </c>
      <c r="G36" s="22" t="s">
        <v>61</v>
      </c>
      <c r="H36" s="37"/>
    </row>
    <row r="37" spans="2:8" x14ac:dyDescent="0.45">
      <c r="E37" s="55"/>
      <c r="F37" s="36" t="s">
        <v>46</v>
      </c>
      <c r="G37" s="22" t="s">
        <v>159</v>
      </c>
      <c r="H37" s="37"/>
    </row>
    <row r="38" spans="2:8" x14ac:dyDescent="0.45">
      <c r="E38" s="55"/>
      <c r="F38" s="36" t="s">
        <v>46</v>
      </c>
      <c r="G38" s="22" t="s">
        <v>62</v>
      </c>
      <c r="H38" s="37"/>
    </row>
    <row r="39" spans="2:8" x14ac:dyDescent="0.45">
      <c r="E39" s="55"/>
      <c r="F39" s="40"/>
      <c r="G39" s="22"/>
    </row>
    <row r="40" spans="2:8" x14ac:dyDescent="0.45">
      <c r="E40" s="55">
        <f>EOMONTH(E36,0)+1</f>
        <v>42736</v>
      </c>
      <c r="F40" s="36" t="s">
        <v>46</v>
      </c>
      <c r="G40" s="22" t="s">
        <v>63</v>
      </c>
      <c r="H40" s="37"/>
    </row>
    <row r="41" spans="2:8" x14ac:dyDescent="0.45">
      <c r="E41" s="55"/>
      <c r="F41" s="36" t="s">
        <v>46</v>
      </c>
      <c r="G41" s="22" t="s">
        <v>64</v>
      </c>
      <c r="H41" s="37"/>
    </row>
    <row r="42" spans="2:8" x14ac:dyDescent="0.45">
      <c r="E42" s="55"/>
      <c r="F42" s="36" t="s">
        <v>46</v>
      </c>
      <c r="G42" s="22" t="s">
        <v>65</v>
      </c>
      <c r="H42" s="37"/>
    </row>
    <row r="43" spans="2:8" x14ac:dyDescent="0.45">
      <c r="C43" s="41" t="s">
        <v>66</v>
      </c>
      <c r="E43" s="55"/>
      <c r="F43" s="36"/>
    </row>
    <row r="44" spans="2:8" x14ac:dyDescent="0.45">
      <c r="B44" s="49"/>
      <c r="C44" s="49"/>
      <c r="D44" s="49"/>
      <c r="E44" s="56">
        <f>EOMONTH(E40,0)+1</f>
        <v>42767</v>
      </c>
      <c r="F44" s="36" t="s">
        <v>46</v>
      </c>
      <c r="G44" s="22" t="s">
        <v>67</v>
      </c>
      <c r="H44" s="37"/>
    </row>
    <row r="45" spans="2:8" x14ac:dyDescent="0.45">
      <c r="E45" s="55"/>
      <c r="F45" s="36"/>
      <c r="G45" s="22"/>
      <c r="H45" s="37"/>
    </row>
    <row r="46" spans="2:8" x14ac:dyDescent="0.45">
      <c r="E46" s="55"/>
      <c r="F46" s="36" t="s">
        <v>46</v>
      </c>
      <c r="G46" s="22" t="s">
        <v>68</v>
      </c>
    </row>
    <row r="47" spans="2:8" x14ac:dyDescent="0.45">
      <c r="E47" s="55"/>
      <c r="F47" s="36" t="s">
        <v>46</v>
      </c>
      <c r="G47" s="22" t="s">
        <v>96</v>
      </c>
    </row>
    <row r="48" spans="2:8" x14ac:dyDescent="0.45">
      <c r="E48" s="55">
        <f>EOMONTH(E44,0)+1</f>
        <v>42795</v>
      </c>
      <c r="F48" s="36"/>
      <c r="G48" s="22"/>
      <c r="H48" s="37"/>
    </row>
    <row r="49" spans="3:8" x14ac:dyDescent="0.45">
      <c r="C49" s="42" t="s">
        <v>69</v>
      </c>
      <c r="E49" s="55"/>
      <c r="F49" s="36" t="s">
        <v>46</v>
      </c>
      <c r="G49" s="22" t="s">
        <v>70</v>
      </c>
      <c r="H49" s="37"/>
    </row>
    <row r="50" spans="3:8" x14ac:dyDescent="0.45">
      <c r="E50" s="55"/>
      <c r="F50" s="36"/>
    </row>
    <row r="51" spans="3:8" x14ac:dyDescent="0.45">
      <c r="E51" s="55"/>
      <c r="F51" s="36"/>
    </row>
  </sheetData>
  <pageMargins left="0.45" right="0.45" top="0.5" bottom="0.5" header="0" footer="0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82"/>
  <sheetViews>
    <sheetView zoomScaleNormal="100" workbookViewId="0">
      <selection activeCell="B2" sqref="B2:H2"/>
    </sheetView>
  </sheetViews>
  <sheetFormatPr defaultRowHeight="14.25" x14ac:dyDescent="0.45"/>
  <cols>
    <col min="1" max="1" width="4.59765625" customWidth="1"/>
    <col min="2" max="2" width="32.59765625" customWidth="1"/>
    <col min="3" max="6" width="8.59765625" customWidth="1"/>
    <col min="7" max="7" width="57.6640625" bestFit="1" customWidth="1"/>
    <col min="8" max="8" width="8.59765625" customWidth="1"/>
  </cols>
  <sheetData>
    <row r="1" spans="2:9" x14ac:dyDescent="0.45">
      <c r="B1" s="79" t="s">
        <v>183</v>
      </c>
    </row>
    <row r="2" spans="2:9" ht="30" customHeight="1" x14ac:dyDescent="0.45">
      <c r="B2" s="93" t="s">
        <v>149</v>
      </c>
      <c r="C2" s="93"/>
      <c r="D2" s="93"/>
      <c r="E2" s="93"/>
      <c r="F2" s="93"/>
      <c r="G2" s="93"/>
      <c r="H2" s="93"/>
    </row>
    <row r="3" spans="2:9" x14ac:dyDescent="0.45">
      <c r="B3" s="25" t="s">
        <v>186</v>
      </c>
      <c r="C3" s="26"/>
      <c r="D3" s="26"/>
      <c r="E3" s="26"/>
      <c r="F3" s="27"/>
      <c r="G3" s="47"/>
      <c r="H3" s="45"/>
    </row>
    <row r="4" spans="2:9" x14ac:dyDescent="0.45">
      <c r="B4" s="88" t="s">
        <v>185</v>
      </c>
      <c r="C4" s="85"/>
      <c r="D4" s="85"/>
      <c r="E4" s="85"/>
      <c r="F4" s="86">
        <v>40</v>
      </c>
      <c r="G4" s="2" t="s">
        <v>187</v>
      </c>
      <c r="H4" s="87"/>
      <c r="I4" s="49"/>
    </row>
    <row r="6" spans="2:9" x14ac:dyDescent="0.45">
      <c r="B6" s="25" t="s">
        <v>126</v>
      </c>
      <c r="C6" s="26"/>
      <c r="D6" s="26"/>
      <c r="E6" s="26"/>
      <c r="F6" s="27"/>
      <c r="G6" s="47"/>
      <c r="H6" s="45"/>
    </row>
    <row r="7" spans="2:9" x14ac:dyDescent="0.45">
      <c r="C7" s="9" t="s">
        <v>21</v>
      </c>
      <c r="D7" s="9" t="s">
        <v>24</v>
      </c>
      <c r="E7" s="9" t="s">
        <v>25</v>
      </c>
      <c r="F7" s="9" t="s">
        <v>22</v>
      </c>
      <c r="G7" s="9" t="s">
        <v>0</v>
      </c>
    </row>
    <row r="8" spans="2:9" x14ac:dyDescent="0.45">
      <c r="B8" s="5" t="s">
        <v>114</v>
      </c>
      <c r="F8" s="31">
        <v>0.1</v>
      </c>
      <c r="G8" s="2" t="s">
        <v>128</v>
      </c>
    </row>
    <row r="9" spans="2:9" x14ac:dyDescent="0.45">
      <c r="B9" s="5" t="s">
        <v>115</v>
      </c>
      <c r="F9" s="31">
        <v>3</v>
      </c>
      <c r="G9" s="2" t="s">
        <v>125</v>
      </c>
    </row>
    <row r="10" spans="2:9" x14ac:dyDescent="0.45">
      <c r="B10" s="5" t="s">
        <v>127</v>
      </c>
      <c r="F10" s="31">
        <v>0.2</v>
      </c>
      <c r="G10" s="2" t="s">
        <v>129</v>
      </c>
    </row>
    <row r="11" spans="2:9" x14ac:dyDescent="0.45">
      <c r="B11" s="5" t="s">
        <v>116</v>
      </c>
      <c r="F11" s="59">
        <v>0.05</v>
      </c>
      <c r="G11" s="2" t="s">
        <v>124</v>
      </c>
    </row>
    <row r="12" spans="2:9" x14ac:dyDescent="0.45">
      <c r="C12" s="1"/>
      <c r="D12" s="1"/>
      <c r="E12" s="1"/>
    </row>
    <row r="13" spans="2:9" x14ac:dyDescent="0.45">
      <c r="B13" s="25" t="s">
        <v>74</v>
      </c>
      <c r="C13" s="26"/>
      <c r="D13" s="26"/>
      <c r="E13" s="83"/>
      <c r="F13" s="27"/>
      <c r="G13" s="84"/>
      <c r="H13" s="45"/>
    </row>
    <row r="14" spans="2:9" x14ac:dyDescent="0.45">
      <c r="B14" s="5"/>
      <c r="C14" s="9" t="s">
        <v>21</v>
      </c>
      <c r="D14" s="9" t="s">
        <v>24</v>
      </c>
      <c r="E14" s="9" t="s">
        <v>25</v>
      </c>
      <c r="F14" s="9" t="s">
        <v>22</v>
      </c>
      <c r="G14" s="9" t="s">
        <v>0</v>
      </c>
      <c r="H14" s="89" t="s">
        <v>188</v>
      </c>
    </row>
    <row r="15" spans="2:9" x14ac:dyDescent="0.45">
      <c r="B15" s="5" t="s">
        <v>120</v>
      </c>
      <c r="C15" s="23"/>
      <c r="D15" s="30">
        <v>1250</v>
      </c>
      <c r="E15" s="9"/>
      <c r="F15" s="9"/>
      <c r="G15" s="2" t="s">
        <v>160</v>
      </c>
      <c r="H15" s="48">
        <f>$D15*$F$4</f>
        <v>50000</v>
      </c>
    </row>
    <row r="16" spans="2:9" x14ac:dyDescent="0.45">
      <c r="B16" s="5" t="s">
        <v>131</v>
      </c>
      <c r="C16" s="23"/>
      <c r="D16" s="30">
        <v>1850</v>
      </c>
      <c r="E16" s="9"/>
      <c r="F16" s="9"/>
      <c r="G16" s="2"/>
      <c r="H16" s="48">
        <f>$D16*$F$4</f>
        <v>74000</v>
      </c>
    </row>
    <row r="17" spans="2:8" x14ac:dyDescent="0.45">
      <c r="B17" s="5" t="s">
        <v>101</v>
      </c>
      <c r="C17" s="23"/>
      <c r="D17" s="30">
        <v>175</v>
      </c>
      <c r="E17" s="9"/>
      <c r="F17" s="9"/>
      <c r="G17" s="2"/>
      <c r="H17" s="48">
        <f>$D17*$F$4</f>
        <v>7000</v>
      </c>
    </row>
    <row r="18" spans="2:8" x14ac:dyDescent="0.45">
      <c r="B18" s="5" t="s">
        <v>3</v>
      </c>
      <c r="C18" s="23"/>
      <c r="D18" s="30">
        <v>600</v>
      </c>
      <c r="E18" s="9"/>
      <c r="F18" s="9"/>
      <c r="G18" s="2" t="s">
        <v>100</v>
      </c>
      <c r="H18" s="48">
        <f>$D18*$F$4</f>
        <v>24000</v>
      </c>
    </row>
    <row r="19" spans="2:8" x14ac:dyDescent="0.45">
      <c r="B19" s="5" t="s">
        <v>40</v>
      </c>
      <c r="C19" s="24">
        <v>10000</v>
      </c>
      <c r="D19" s="9"/>
      <c r="E19" s="9"/>
      <c r="F19" s="9"/>
      <c r="G19" s="2" t="s">
        <v>41</v>
      </c>
      <c r="H19" s="48">
        <f>C19</f>
        <v>10000</v>
      </c>
    </row>
    <row r="20" spans="2:8" x14ac:dyDescent="0.45">
      <c r="B20" s="5" t="s">
        <v>18</v>
      </c>
      <c r="C20" s="24">
        <v>20000</v>
      </c>
      <c r="D20" s="9"/>
      <c r="E20" s="9"/>
      <c r="F20" s="9"/>
      <c r="G20" s="2" t="s">
        <v>31</v>
      </c>
      <c r="H20" s="48">
        <f>C20</f>
        <v>20000</v>
      </c>
    </row>
    <row r="21" spans="2:8" x14ac:dyDescent="0.45">
      <c r="B21" s="5" t="s">
        <v>32</v>
      </c>
      <c r="C21" s="24">
        <v>25000</v>
      </c>
      <c r="D21" s="9"/>
      <c r="E21" s="9"/>
      <c r="F21" s="9"/>
      <c r="G21" s="2" t="s">
        <v>33</v>
      </c>
      <c r="H21" s="48">
        <f>C21</f>
        <v>25000</v>
      </c>
    </row>
    <row r="22" spans="2:8" x14ac:dyDescent="0.45">
      <c r="B22" s="5" t="s">
        <v>17</v>
      </c>
      <c r="C22" s="24">
        <v>15000</v>
      </c>
      <c r="D22" s="9"/>
      <c r="E22" s="9"/>
      <c r="F22" s="9"/>
      <c r="G22" s="2" t="s">
        <v>178</v>
      </c>
      <c r="H22" s="48">
        <f>C22</f>
        <v>15000</v>
      </c>
    </row>
    <row r="23" spans="2:8" x14ac:dyDescent="0.45">
      <c r="B23" s="5" t="s">
        <v>75</v>
      </c>
      <c r="C23" s="24">
        <v>15000</v>
      </c>
      <c r="D23" s="9"/>
      <c r="E23" s="9"/>
      <c r="F23" s="9"/>
      <c r="G23" s="2" t="s">
        <v>99</v>
      </c>
      <c r="H23" s="48">
        <f>C23</f>
        <v>15000</v>
      </c>
    </row>
    <row r="24" spans="2:8" x14ac:dyDescent="0.45">
      <c r="B24" s="5" t="s">
        <v>9</v>
      </c>
      <c r="C24" s="23"/>
      <c r="D24" s="30">
        <v>525</v>
      </c>
      <c r="E24" s="9"/>
      <c r="F24" s="9"/>
      <c r="G24" s="2"/>
      <c r="H24" s="48">
        <f>$D24*$F$4</f>
        <v>21000</v>
      </c>
    </row>
    <row r="25" spans="2:8" x14ac:dyDescent="0.45">
      <c r="B25" s="5" t="s">
        <v>2</v>
      </c>
      <c r="C25" s="23"/>
      <c r="D25" s="30">
        <v>550</v>
      </c>
      <c r="E25" s="9"/>
      <c r="F25" s="9"/>
      <c r="G25" s="2" t="s">
        <v>172</v>
      </c>
      <c r="H25" s="48">
        <f>$D25*$F$4</f>
        <v>22000</v>
      </c>
    </row>
    <row r="26" spans="2:8" x14ac:dyDescent="0.45">
      <c r="B26" s="5" t="s">
        <v>98</v>
      </c>
      <c r="C26" s="23"/>
      <c r="D26" s="30">
        <v>475</v>
      </c>
      <c r="E26" s="9"/>
      <c r="F26" s="9"/>
      <c r="G26" s="2" t="s">
        <v>179</v>
      </c>
      <c r="H26" s="48">
        <f>$D26*$F$4</f>
        <v>19000</v>
      </c>
    </row>
    <row r="27" spans="2:8" x14ac:dyDescent="0.45">
      <c r="B27" s="5" t="s">
        <v>44</v>
      </c>
      <c r="C27" s="23"/>
      <c r="D27" s="30">
        <v>125</v>
      </c>
      <c r="E27" s="9"/>
      <c r="F27" s="9"/>
      <c r="G27" s="2"/>
      <c r="H27" s="48">
        <f>$D27*$F$4</f>
        <v>5000</v>
      </c>
    </row>
    <row r="28" spans="2:8" x14ac:dyDescent="0.45">
      <c r="B28" s="5" t="s">
        <v>6</v>
      </c>
      <c r="C28" s="24">
        <v>20000</v>
      </c>
      <c r="D28" s="9"/>
      <c r="E28" s="9"/>
      <c r="F28" s="9"/>
      <c r="G28" s="2"/>
      <c r="H28" s="48">
        <f>C28</f>
        <v>20000</v>
      </c>
    </row>
    <row r="29" spans="2:8" x14ac:dyDescent="0.45">
      <c r="B29" s="5" t="s">
        <v>97</v>
      </c>
      <c r="C29" s="24">
        <f>40*50000*0.07</f>
        <v>140000</v>
      </c>
      <c r="D29" s="9"/>
      <c r="E29" s="9"/>
      <c r="F29" s="9"/>
      <c r="G29" s="2" t="s">
        <v>182</v>
      </c>
      <c r="H29" s="48">
        <f>C29</f>
        <v>140000</v>
      </c>
    </row>
    <row r="30" spans="2:8" x14ac:dyDescent="0.45">
      <c r="B30" s="15" t="s">
        <v>132</v>
      </c>
      <c r="C30" s="28"/>
      <c r="D30" s="28"/>
      <c r="E30" s="28"/>
      <c r="F30" s="29"/>
      <c r="G30" s="8"/>
      <c r="H30" s="44"/>
    </row>
    <row r="31" spans="2:8" x14ac:dyDescent="0.45">
      <c r="B31" s="5" t="s">
        <v>38</v>
      </c>
      <c r="C31" s="24">
        <v>90000</v>
      </c>
      <c r="D31" s="9"/>
      <c r="E31" s="9"/>
      <c r="F31" s="9"/>
      <c r="G31" s="2" t="s">
        <v>161</v>
      </c>
      <c r="H31" s="48">
        <f>C31</f>
        <v>90000</v>
      </c>
    </row>
    <row r="32" spans="2:8" x14ac:dyDescent="0.45">
      <c r="B32" s="5" t="s">
        <v>39</v>
      </c>
      <c r="C32" s="24">
        <v>65000</v>
      </c>
      <c r="D32" s="9"/>
      <c r="E32" s="9"/>
      <c r="F32" s="9"/>
      <c r="G32" s="2" t="s">
        <v>161</v>
      </c>
      <c r="H32" s="48">
        <f>C32</f>
        <v>65000</v>
      </c>
    </row>
    <row r="33" spans="2:8" x14ac:dyDescent="0.45">
      <c r="B33" s="5" t="s">
        <v>81</v>
      </c>
      <c r="C33" s="24">
        <v>55000</v>
      </c>
      <c r="D33" s="9"/>
      <c r="E33" s="9"/>
      <c r="F33" s="9"/>
      <c r="G33" s="2" t="s">
        <v>166</v>
      </c>
      <c r="H33" s="48">
        <f>C33</f>
        <v>55000</v>
      </c>
    </row>
    <row r="34" spans="2:8" x14ac:dyDescent="0.45">
      <c r="B34" s="5" t="s">
        <v>14</v>
      </c>
      <c r="C34" s="23"/>
      <c r="D34" s="9">
        <f>E34*2750</f>
        <v>534.6</v>
      </c>
      <c r="E34" s="31">
        <f>0.18*1.08</f>
        <v>0.19440000000000002</v>
      </c>
      <c r="F34" s="9"/>
      <c r="G34" s="2" t="s">
        <v>162</v>
      </c>
      <c r="H34" s="48">
        <f t="shared" ref="H34:H39" si="0">$D34*$F$4</f>
        <v>21384</v>
      </c>
    </row>
    <row r="35" spans="2:8" x14ac:dyDescent="0.45">
      <c r="B35" s="5" t="s">
        <v>13</v>
      </c>
      <c r="C35" s="23"/>
      <c r="D35" s="9">
        <f>E35*2750</f>
        <v>1633.5000000000002</v>
      </c>
      <c r="E35" s="31">
        <f>0.55*1.08</f>
        <v>0.59400000000000008</v>
      </c>
      <c r="F35" s="9"/>
      <c r="G35" s="2" t="s">
        <v>163</v>
      </c>
      <c r="H35" s="48">
        <f t="shared" si="0"/>
        <v>65340.000000000007</v>
      </c>
    </row>
    <row r="36" spans="2:8" x14ac:dyDescent="0.45">
      <c r="B36" s="5" t="s">
        <v>16</v>
      </c>
      <c r="C36" s="23"/>
      <c r="D36" s="9">
        <f>E36*2750</f>
        <v>386.10000000000008</v>
      </c>
      <c r="E36" s="31">
        <f>0.13*1.08</f>
        <v>0.14040000000000002</v>
      </c>
      <c r="F36" s="9"/>
      <c r="G36" s="2" t="s">
        <v>164</v>
      </c>
      <c r="H36" s="48">
        <f t="shared" si="0"/>
        <v>15444.000000000004</v>
      </c>
    </row>
    <row r="37" spans="2:8" x14ac:dyDescent="0.45">
      <c r="B37" s="5" t="s">
        <v>15</v>
      </c>
      <c r="C37" s="23"/>
      <c r="D37" s="30">
        <v>125</v>
      </c>
      <c r="E37" s="9"/>
      <c r="F37" s="9"/>
      <c r="G37" s="2" t="s">
        <v>165</v>
      </c>
      <c r="H37" s="48">
        <f t="shared" si="0"/>
        <v>5000</v>
      </c>
    </row>
    <row r="38" spans="2:8" x14ac:dyDescent="0.45">
      <c r="B38" s="5" t="s">
        <v>173</v>
      </c>
      <c r="C38" s="23"/>
      <c r="D38" s="30">
        <v>450</v>
      </c>
      <c r="E38" s="9"/>
      <c r="F38" s="9"/>
      <c r="G38" s="2" t="s">
        <v>165</v>
      </c>
      <c r="H38" s="48">
        <f t="shared" si="0"/>
        <v>18000</v>
      </c>
    </row>
    <row r="39" spans="2:8" x14ac:dyDescent="0.45">
      <c r="B39" s="5" t="s">
        <v>174</v>
      </c>
      <c r="C39" s="23"/>
      <c r="D39" s="30">
        <v>1450</v>
      </c>
      <c r="E39" s="9"/>
      <c r="F39" s="9"/>
      <c r="G39" s="2" t="s">
        <v>165</v>
      </c>
      <c r="H39" s="48">
        <f t="shared" si="0"/>
        <v>58000</v>
      </c>
    </row>
    <row r="40" spans="2:8" x14ac:dyDescent="0.45">
      <c r="B40" s="5" t="s">
        <v>42</v>
      </c>
      <c r="C40" s="9" t="s">
        <v>34</v>
      </c>
      <c r="D40" s="9" t="s">
        <v>34</v>
      </c>
      <c r="E40" s="9"/>
      <c r="F40" s="9"/>
      <c r="G40" s="2" t="s">
        <v>11</v>
      </c>
      <c r="H40" s="48"/>
    </row>
    <row r="41" spans="2:8" x14ac:dyDescent="0.45">
      <c r="B41" s="5" t="s">
        <v>19</v>
      </c>
      <c r="C41" s="24">
        <v>50000</v>
      </c>
      <c r="D41" s="9"/>
      <c r="E41" s="9"/>
      <c r="F41" s="9"/>
      <c r="G41" s="4" t="s">
        <v>102</v>
      </c>
      <c r="H41" s="48">
        <f>C41</f>
        <v>50000</v>
      </c>
    </row>
    <row r="42" spans="2:8" x14ac:dyDescent="0.45">
      <c r="B42" s="5" t="s">
        <v>76</v>
      </c>
      <c r="C42" s="24">
        <v>10000</v>
      </c>
      <c r="D42" s="9"/>
      <c r="E42" s="9"/>
      <c r="F42" s="9"/>
      <c r="G42" s="4" t="s">
        <v>77</v>
      </c>
      <c r="H42" s="48">
        <f>C42</f>
        <v>10000</v>
      </c>
    </row>
    <row r="43" spans="2:8" x14ac:dyDescent="0.45">
      <c r="B43" s="5" t="s">
        <v>45</v>
      </c>
      <c r="C43" s="24">
        <v>10000</v>
      </c>
      <c r="D43" s="9"/>
      <c r="E43" s="9"/>
      <c r="F43" s="9"/>
      <c r="G43" s="4" t="s">
        <v>78</v>
      </c>
      <c r="H43" s="48">
        <f>C43</f>
        <v>10000</v>
      </c>
    </row>
    <row r="44" spans="2:8" x14ac:dyDescent="0.45">
      <c r="B44" s="5" t="s">
        <v>82</v>
      </c>
      <c r="C44" s="24">
        <v>180000</v>
      </c>
      <c r="D44" s="9"/>
      <c r="E44" s="9"/>
      <c r="F44" s="9"/>
      <c r="G44" s="4" t="s">
        <v>130</v>
      </c>
      <c r="H44" s="48">
        <f>C44</f>
        <v>180000</v>
      </c>
    </row>
    <row r="45" spans="2:8" x14ac:dyDescent="0.45">
      <c r="B45" s="7" t="s">
        <v>7</v>
      </c>
      <c r="C45" s="24">
        <v>275000</v>
      </c>
      <c r="D45" s="9"/>
      <c r="E45" s="9"/>
      <c r="F45" s="5"/>
      <c r="G45" s="4" t="s">
        <v>35</v>
      </c>
      <c r="H45" s="48">
        <f>C45</f>
        <v>275000</v>
      </c>
    </row>
    <row r="46" spans="2:8" x14ac:dyDescent="0.45">
      <c r="B46" s="7"/>
      <c r="C46" s="23"/>
      <c r="D46" s="9"/>
      <c r="E46" s="9"/>
      <c r="F46" s="5"/>
      <c r="H46" s="46"/>
    </row>
    <row r="47" spans="2:8" x14ac:dyDescent="0.45">
      <c r="B47" s="5"/>
      <c r="C47" s="5"/>
      <c r="D47" s="5"/>
      <c r="E47" s="5"/>
      <c r="F47" s="5"/>
    </row>
    <row r="48" spans="2:8" x14ac:dyDescent="0.45">
      <c r="B48" s="25" t="s">
        <v>135</v>
      </c>
      <c r="C48" s="26"/>
      <c r="D48" s="26"/>
      <c r="E48" s="26"/>
      <c r="F48" s="27"/>
      <c r="G48" s="3"/>
      <c r="H48" s="3"/>
    </row>
    <row r="49" spans="2:8" x14ac:dyDescent="0.45">
      <c r="B49" s="5"/>
      <c r="C49" s="9" t="s">
        <v>21</v>
      </c>
      <c r="D49" s="9" t="s">
        <v>24</v>
      </c>
      <c r="E49" s="9" t="s">
        <v>25</v>
      </c>
      <c r="F49" s="9" t="s">
        <v>22</v>
      </c>
      <c r="G49" s="9" t="s">
        <v>0</v>
      </c>
    </row>
    <row r="50" spans="2:8" x14ac:dyDescent="0.45">
      <c r="B50" s="5" t="s">
        <v>134</v>
      </c>
      <c r="C50" s="23"/>
      <c r="D50" s="30">
        <v>750</v>
      </c>
      <c r="E50" s="9"/>
      <c r="F50" s="9"/>
      <c r="G50" s="2" t="s">
        <v>167</v>
      </c>
    </row>
    <row r="51" spans="2:8" x14ac:dyDescent="0.45">
      <c r="B51" s="5" t="s">
        <v>4</v>
      </c>
      <c r="C51" s="23"/>
      <c r="D51" s="30">
        <v>11050</v>
      </c>
      <c r="E51" s="9"/>
      <c r="F51" s="9"/>
      <c r="G51" s="2" t="s">
        <v>103</v>
      </c>
    </row>
    <row r="52" spans="2:8" x14ac:dyDescent="0.45">
      <c r="B52" s="5" t="s">
        <v>83</v>
      </c>
      <c r="C52" s="23"/>
      <c r="D52" s="30">
        <v>5500</v>
      </c>
      <c r="E52" s="9"/>
      <c r="F52" s="9"/>
      <c r="G52" s="2" t="s">
        <v>104</v>
      </c>
    </row>
    <row r="53" spans="2:8" x14ac:dyDescent="0.45">
      <c r="B53" s="5" t="s">
        <v>79</v>
      </c>
      <c r="C53" s="23"/>
      <c r="D53" s="30">
        <v>2750</v>
      </c>
      <c r="E53" s="9"/>
      <c r="F53" s="9"/>
      <c r="G53" s="2" t="s">
        <v>105</v>
      </c>
    </row>
    <row r="54" spans="2:8" x14ac:dyDescent="0.45">
      <c r="B54" s="5" t="s">
        <v>84</v>
      </c>
      <c r="C54" s="23"/>
      <c r="D54" s="30">
        <v>3250</v>
      </c>
      <c r="E54" s="9"/>
      <c r="F54" s="9"/>
      <c r="G54" s="2" t="s">
        <v>157</v>
      </c>
    </row>
    <row r="55" spans="2:8" x14ac:dyDescent="0.45">
      <c r="B55" s="5" t="s">
        <v>85</v>
      </c>
      <c r="C55" s="23"/>
      <c r="D55" s="9">
        <f>E55*2750</f>
        <v>13062.5</v>
      </c>
      <c r="E55" s="31">
        <v>4.75</v>
      </c>
      <c r="F55" s="9"/>
      <c r="G55" s="2" t="s">
        <v>169</v>
      </c>
      <c r="H55" s="2"/>
    </row>
    <row r="56" spans="2:8" x14ac:dyDescent="0.45">
      <c r="B56" s="5" t="s">
        <v>175</v>
      </c>
      <c r="C56" s="23"/>
      <c r="D56" s="30">
        <v>1250</v>
      </c>
      <c r="E56" s="9"/>
      <c r="F56" s="9"/>
      <c r="G56" s="2" t="s">
        <v>167</v>
      </c>
    </row>
    <row r="57" spans="2:8" x14ac:dyDescent="0.45">
      <c r="B57" s="5" t="s">
        <v>5</v>
      </c>
      <c r="C57" s="23"/>
      <c r="D57" s="30">
        <v>4500</v>
      </c>
      <c r="E57" s="9"/>
      <c r="F57" s="9"/>
      <c r="G57" s="2" t="s">
        <v>168</v>
      </c>
    </row>
    <row r="58" spans="2:8" x14ac:dyDescent="0.45">
      <c r="B58" s="5" t="s">
        <v>176</v>
      </c>
      <c r="C58" s="23"/>
      <c r="D58" s="30">
        <v>1750</v>
      </c>
      <c r="E58" s="9"/>
      <c r="F58" s="9"/>
      <c r="G58" s="2" t="s">
        <v>167</v>
      </c>
    </row>
    <row r="59" spans="2:8" x14ac:dyDescent="0.45">
      <c r="B59" s="5" t="s">
        <v>177</v>
      </c>
      <c r="C59" s="23"/>
      <c r="D59" s="30">
        <v>1000</v>
      </c>
      <c r="E59" s="9"/>
      <c r="F59" s="9"/>
      <c r="G59" s="2" t="s">
        <v>23</v>
      </c>
    </row>
    <row r="60" spans="2:8" x14ac:dyDescent="0.45">
      <c r="B60" s="68" t="s">
        <v>1</v>
      </c>
      <c r="C60" s="69"/>
      <c r="D60" s="67">
        <f>SUM(D50:D59)</f>
        <v>44862.5</v>
      </c>
      <c r="E60" s="69"/>
      <c r="F60" s="5"/>
      <c r="G60" s="2"/>
    </row>
    <row r="63" spans="2:8" x14ac:dyDescent="0.45">
      <c r="B63" s="25" t="s">
        <v>95</v>
      </c>
      <c r="C63" s="26"/>
      <c r="D63" s="26"/>
      <c r="E63" s="26"/>
      <c r="F63" s="27"/>
      <c r="G63" s="3"/>
      <c r="H63" s="3"/>
    </row>
    <row r="64" spans="2:8" x14ac:dyDescent="0.45">
      <c r="B64" s="5"/>
      <c r="C64" s="9" t="s">
        <v>21</v>
      </c>
      <c r="D64" s="9" t="s">
        <v>24</v>
      </c>
      <c r="E64" s="9" t="s">
        <v>25</v>
      </c>
      <c r="F64" s="9" t="s">
        <v>22</v>
      </c>
      <c r="G64" s="9" t="s">
        <v>0</v>
      </c>
    </row>
    <row r="65" spans="2:7" x14ac:dyDescent="0.45">
      <c r="B65" s="5" t="s">
        <v>142</v>
      </c>
      <c r="C65" s="24">
        <v>875000</v>
      </c>
      <c r="D65" s="5"/>
      <c r="E65" s="5"/>
      <c r="G65" s="2" t="s">
        <v>141</v>
      </c>
    </row>
    <row r="66" spans="2:7" x14ac:dyDescent="0.45">
      <c r="B66" s="5" t="s">
        <v>143</v>
      </c>
      <c r="C66" s="24">
        <f>275000*3</f>
        <v>825000</v>
      </c>
      <c r="D66" s="5"/>
      <c r="E66" s="5"/>
      <c r="G66" s="2" t="s">
        <v>144</v>
      </c>
    </row>
    <row r="67" spans="2:7" x14ac:dyDescent="0.45">
      <c r="B67" s="5" t="s">
        <v>86</v>
      </c>
      <c r="C67" s="24">
        <v>575000</v>
      </c>
      <c r="D67" s="5"/>
      <c r="E67" s="5"/>
      <c r="G67" s="2" t="s">
        <v>170</v>
      </c>
    </row>
    <row r="68" spans="2:7" x14ac:dyDescent="0.45">
      <c r="B68" s="5" t="s">
        <v>87</v>
      </c>
      <c r="C68" s="24">
        <v>525000</v>
      </c>
      <c r="D68" s="5"/>
      <c r="E68" s="5"/>
      <c r="G68" s="2" t="s">
        <v>158</v>
      </c>
    </row>
    <row r="69" spans="2:7" x14ac:dyDescent="0.45">
      <c r="B69" s="5" t="s">
        <v>88</v>
      </c>
      <c r="C69" s="24">
        <v>75000</v>
      </c>
      <c r="D69" s="5"/>
      <c r="E69" s="5"/>
      <c r="G69" s="2" t="s">
        <v>171</v>
      </c>
    </row>
    <row r="70" spans="2:7" x14ac:dyDescent="0.45">
      <c r="B70" s="5" t="s">
        <v>89</v>
      </c>
      <c r="C70" s="24">
        <v>225000</v>
      </c>
      <c r="D70" s="5"/>
      <c r="E70" s="5"/>
      <c r="G70" s="2"/>
    </row>
    <row r="71" spans="2:7" x14ac:dyDescent="0.45">
      <c r="B71" s="5" t="s">
        <v>90</v>
      </c>
      <c r="C71" s="24">
        <v>150000</v>
      </c>
      <c r="D71" s="5"/>
      <c r="E71" s="5"/>
      <c r="G71" s="2"/>
    </row>
    <row r="72" spans="2:7" x14ac:dyDescent="0.45">
      <c r="B72" s="5" t="s">
        <v>80</v>
      </c>
      <c r="C72" s="24">
        <v>170000</v>
      </c>
      <c r="G72" s="2"/>
    </row>
    <row r="73" spans="2:7" x14ac:dyDescent="0.45">
      <c r="B73" s="5" t="s">
        <v>91</v>
      </c>
      <c r="C73" s="24">
        <v>90000</v>
      </c>
      <c r="G73" s="2"/>
    </row>
    <row r="74" spans="2:7" x14ac:dyDescent="0.45">
      <c r="B74" s="5" t="s">
        <v>92</v>
      </c>
      <c r="C74" s="24">
        <v>450000</v>
      </c>
      <c r="G74" s="2"/>
    </row>
    <row r="75" spans="2:7" x14ac:dyDescent="0.45">
      <c r="B75" s="5" t="s">
        <v>93</v>
      </c>
      <c r="C75" s="24">
        <v>55000</v>
      </c>
      <c r="G75" s="2"/>
    </row>
    <row r="76" spans="2:7" x14ac:dyDescent="0.45">
      <c r="B76" s="5" t="s">
        <v>94</v>
      </c>
      <c r="C76" s="24">
        <v>125000</v>
      </c>
      <c r="G76" s="2" t="s">
        <v>145</v>
      </c>
    </row>
    <row r="77" spans="2:7" x14ac:dyDescent="0.45">
      <c r="B77" s="6" t="s">
        <v>133</v>
      </c>
      <c r="C77" s="67">
        <f>SUM(C65:C76)</f>
        <v>4140000</v>
      </c>
      <c r="G77" s="2"/>
    </row>
    <row r="78" spans="2:7" x14ac:dyDescent="0.45">
      <c r="C78" s="1"/>
      <c r="G78" s="2"/>
    </row>
    <row r="79" spans="2:7" x14ac:dyDescent="0.45">
      <c r="B79" s="11" t="s">
        <v>117</v>
      </c>
      <c r="F79" s="59">
        <f>1/3</f>
        <v>0.33333333333333331</v>
      </c>
      <c r="G79" s="2" t="s">
        <v>136</v>
      </c>
    </row>
    <row r="80" spans="2:7" x14ac:dyDescent="0.45">
      <c r="B80" s="11" t="s">
        <v>123</v>
      </c>
      <c r="F80" s="59">
        <v>1.2</v>
      </c>
      <c r="G80" s="2" t="s">
        <v>137</v>
      </c>
    </row>
    <row r="81" spans="7:7" x14ac:dyDescent="0.45">
      <c r="G81" s="2"/>
    </row>
    <row r="82" spans="7:7" x14ac:dyDescent="0.45">
      <c r="G82" s="2"/>
    </row>
  </sheetData>
  <mergeCells count="1">
    <mergeCell ref="B2:H2"/>
  </mergeCell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2"/>
  <sheetViews>
    <sheetView workbookViewId="0">
      <selection activeCell="B2" sqref="B2:G2"/>
    </sheetView>
  </sheetViews>
  <sheetFormatPr defaultColWidth="9.1328125" defaultRowHeight="14.25" x14ac:dyDescent="0.45"/>
  <cols>
    <col min="1" max="1" width="10.73046875" style="10" customWidth="1"/>
    <col min="2" max="2" width="34.59765625" style="10" bestFit="1" customWidth="1"/>
    <col min="3" max="7" width="14.59765625" style="10" customWidth="1"/>
    <col min="8" max="16384" width="9.1328125" style="10"/>
  </cols>
  <sheetData>
    <row r="1" spans="1:7" x14ac:dyDescent="0.45">
      <c r="B1" s="79" t="s">
        <v>183</v>
      </c>
    </row>
    <row r="2" spans="1:7" ht="30" customHeight="1" x14ac:dyDescent="0.45">
      <c r="B2" s="93" t="s">
        <v>149</v>
      </c>
      <c r="C2" s="93"/>
      <c r="D2" s="93"/>
      <c r="E2" s="93"/>
      <c r="F2" s="93"/>
      <c r="G2" s="93"/>
    </row>
    <row r="3" spans="1:7" x14ac:dyDescent="0.45">
      <c r="B3" s="60" t="s">
        <v>29</v>
      </c>
      <c r="C3" s="61" t="s">
        <v>106</v>
      </c>
      <c r="D3" s="61" t="s">
        <v>107</v>
      </c>
      <c r="E3" s="61" t="s">
        <v>108</v>
      </c>
      <c r="F3" s="61" t="s">
        <v>109</v>
      </c>
      <c r="G3" s="61" t="s">
        <v>110</v>
      </c>
    </row>
    <row r="4" spans="1:7" x14ac:dyDescent="0.45">
      <c r="B4" s="7" t="s">
        <v>8</v>
      </c>
      <c r="C4" s="70">
        <f>Budget_Costs!F4</f>
        <v>40</v>
      </c>
      <c r="D4" s="70">
        <v>40</v>
      </c>
      <c r="E4" s="70">
        <v>40</v>
      </c>
      <c r="F4" s="70">
        <v>40</v>
      </c>
      <c r="G4" s="70">
        <v>40</v>
      </c>
    </row>
    <row r="5" spans="1:7" x14ac:dyDescent="0.45">
      <c r="B5" s="5" t="s">
        <v>122</v>
      </c>
      <c r="C5" s="80">
        <v>900</v>
      </c>
      <c r="D5" s="80">
        <v>1550</v>
      </c>
      <c r="E5" s="80">
        <v>1750</v>
      </c>
      <c r="F5" s="80">
        <v>1750</v>
      </c>
      <c r="G5" s="80">
        <v>1750</v>
      </c>
    </row>
    <row r="6" spans="1:7" x14ac:dyDescent="0.45">
      <c r="B6" s="6" t="s">
        <v>184</v>
      </c>
      <c r="C6" s="14">
        <f>C4*C5</f>
        <v>36000</v>
      </c>
      <c r="D6" s="14">
        <f>D4*D5</f>
        <v>62000</v>
      </c>
      <c r="E6" s="14">
        <f>E4*E5</f>
        <v>70000</v>
      </c>
      <c r="F6" s="14">
        <f>F4*F5</f>
        <v>70000</v>
      </c>
      <c r="G6" s="14">
        <f>G4*G5</f>
        <v>70000</v>
      </c>
    </row>
    <row r="7" spans="1:7" x14ac:dyDescent="0.45">
      <c r="B7" s="5" t="s">
        <v>118</v>
      </c>
      <c r="C7" s="81">
        <v>35</v>
      </c>
      <c r="D7" s="81">
        <v>35</v>
      </c>
      <c r="E7" s="81">
        <v>35</v>
      </c>
      <c r="F7" s="81">
        <v>35</v>
      </c>
      <c r="G7" s="81">
        <v>35</v>
      </c>
    </row>
    <row r="8" spans="1:7" x14ac:dyDescent="0.45">
      <c r="B8" s="15" t="s">
        <v>43</v>
      </c>
      <c r="C8" s="82">
        <f>C6*C7</f>
        <v>1260000</v>
      </c>
      <c r="D8" s="82">
        <f t="shared" ref="D8:G8" si="0">D6*D7</f>
        <v>2170000</v>
      </c>
      <c r="E8" s="82">
        <f t="shared" si="0"/>
        <v>2450000</v>
      </c>
      <c r="F8" s="82">
        <f t="shared" si="0"/>
        <v>2450000</v>
      </c>
      <c r="G8" s="82">
        <f t="shared" si="0"/>
        <v>2450000</v>
      </c>
    </row>
    <row r="9" spans="1:7" x14ac:dyDescent="0.45">
      <c r="B9" s="5" t="s">
        <v>114</v>
      </c>
      <c r="C9" s="12">
        <f>C6*Budget_Costs!$F$8</f>
        <v>3600</v>
      </c>
      <c r="D9" s="12">
        <f>D6*Budget_Costs!$F$8</f>
        <v>6200</v>
      </c>
      <c r="E9" s="12">
        <f>E6*Budget_Costs!$F$8</f>
        <v>7000</v>
      </c>
      <c r="F9" s="12">
        <f>F6*Budget_Costs!$F$8</f>
        <v>7000</v>
      </c>
      <c r="G9" s="12">
        <f>G6*Budget_Costs!$F$8</f>
        <v>7000</v>
      </c>
    </row>
    <row r="10" spans="1:7" x14ac:dyDescent="0.45">
      <c r="B10" s="5" t="s">
        <v>115</v>
      </c>
      <c r="C10" s="12">
        <f>C6*Budget_Costs!$F$9</f>
        <v>108000</v>
      </c>
      <c r="D10" s="12">
        <f>D6*Budget_Costs!$F$9</f>
        <v>186000</v>
      </c>
      <c r="E10" s="12">
        <f>E6*Budget_Costs!$F$9</f>
        <v>210000</v>
      </c>
      <c r="F10" s="12">
        <f>F6*Budget_Costs!$F$9</f>
        <v>210000</v>
      </c>
      <c r="G10" s="12">
        <f>G6*Budget_Costs!$F$9</f>
        <v>210000</v>
      </c>
    </row>
    <row r="11" spans="1:7" x14ac:dyDescent="0.45">
      <c r="B11" s="5" t="s">
        <v>127</v>
      </c>
      <c r="C11" s="12">
        <f>C6*Budget_Costs!$F$10</f>
        <v>7200</v>
      </c>
      <c r="D11" s="12">
        <f>D6*Budget_Costs!$F$10</f>
        <v>12400</v>
      </c>
      <c r="E11" s="12">
        <f>E6*Budget_Costs!$F$10</f>
        <v>14000</v>
      </c>
      <c r="F11" s="12">
        <f>F6*Budget_Costs!$F$10</f>
        <v>14000</v>
      </c>
      <c r="G11" s="12">
        <f>G6*Budget_Costs!$F$10</f>
        <v>14000</v>
      </c>
    </row>
    <row r="12" spans="1:7" x14ac:dyDescent="0.45">
      <c r="B12" s="5" t="s">
        <v>116</v>
      </c>
      <c r="C12" s="12">
        <f>C8*Budget_Costs!$F$11</f>
        <v>63000</v>
      </c>
      <c r="D12" s="12">
        <f>D8*Budget_Costs!$F$11</f>
        <v>108500</v>
      </c>
      <c r="E12" s="12">
        <f>E8*Budget_Costs!$F$11</f>
        <v>122500</v>
      </c>
      <c r="F12" s="12">
        <f>F8*Budget_Costs!$F$11</f>
        <v>122500</v>
      </c>
      <c r="G12" s="12">
        <f>G8*Budget_Costs!$F$11</f>
        <v>122500</v>
      </c>
    </row>
    <row r="13" spans="1:7" x14ac:dyDescent="0.45">
      <c r="B13" s="57" t="s">
        <v>113</v>
      </c>
      <c r="C13" s="58">
        <f>C8-SUM(C9:C12)</f>
        <v>1078200</v>
      </c>
      <c r="D13" s="58">
        <f t="shared" ref="D13:G13" si="1">D8-SUM(D9:D12)</f>
        <v>1856900</v>
      </c>
      <c r="E13" s="58">
        <f t="shared" si="1"/>
        <v>2096500</v>
      </c>
      <c r="F13" s="58">
        <f t="shared" si="1"/>
        <v>2096500</v>
      </c>
      <c r="G13" s="58">
        <f t="shared" si="1"/>
        <v>2096500</v>
      </c>
    </row>
    <row r="14" spans="1:7" x14ac:dyDescent="0.45">
      <c r="B14" s="5" t="s">
        <v>119</v>
      </c>
      <c r="C14" s="12">
        <f>C13/C4</f>
        <v>26955</v>
      </c>
      <c r="D14" s="12">
        <f>D13/D4</f>
        <v>46422.5</v>
      </c>
      <c r="E14" s="12">
        <f>E13/E4</f>
        <v>52412.5</v>
      </c>
      <c r="F14" s="12">
        <f>F13/F4</f>
        <v>52412.5</v>
      </c>
      <c r="G14" s="12">
        <f>G13/G4</f>
        <v>52412.5</v>
      </c>
    </row>
    <row r="15" spans="1:7" x14ac:dyDescent="0.45">
      <c r="B15" s="5"/>
      <c r="C15" s="11"/>
      <c r="D15" s="11"/>
      <c r="E15" s="11"/>
      <c r="F15" s="11"/>
      <c r="G15" s="11"/>
    </row>
    <row r="16" spans="1:7" x14ac:dyDescent="0.45">
      <c r="A16" s="35"/>
      <c r="B16" s="25" t="s">
        <v>26</v>
      </c>
      <c r="C16" s="25"/>
      <c r="D16" s="25"/>
      <c r="E16" s="25"/>
      <c r="F16" s="25"/>
      <c r="G16" s="25"/>
    </row>
    <row r="17" spans="1:7" x14ac:dyDescent="0.45">
      <c r="A17" s="35"/>
      <c r="B17" s="5" t="s">
        <v>120</v>
      </c>
      <c r="C17" s="12">
        <f>Budget_Costs!$D15*C$4</f>
        <v>50000</v>
      </c>
      <c r="D17" s="12">
        <f>Budget_Costs!$D15*D$4</f>
        <v>50000</v>
      </c>
      <c r="E17" s="12">
        <f>Budget_Costs!$D15*E$4</f>
        <v>50000</v>
      </c>
      <c r="F17" s="12">
        <f>Budget_Costs!$D15*F$4</f>
        <v>50000</v>
      </c>
      <c r="G17" s="12">
        <f>Budget_Costs!$D15*G$4</f>
        <v>50000</v>
      </c>
    </row>
    <row r="18" spans="1:7" x14ac:dyDescent="0.45">
      <c r="A18" s="33"/>
      <c r="B18" s="5" t="s">
        <v>131</v>
      </c>
      <c r="C18" s="12">
        <f>Budget_Costs!$D16*C$4</f>
        <v>74000</v>
      </c>
      <c r="D18" s="12">
        <f>Budget_Costs!$D16*D$4</f>
        <v>74000</v>
      </c>
      <c r="E18" s="12">
        <f>Budget_Costs!$D16*E$4</f>
        <v>74000</v>
      </c>
      <c r="F18" s="12">
        <f>Budget_Costs!$D16*F$4</f>
        <v>74000</v>
      </c>
      <c r="G18" s="12">
        <f>Budget_Costs!$D16*G$4</f>
        <v>74000</v>
      </c>
    </row>
    <row r="19" spans="1:7" x14ac:dyDescent="0.45">
      <c r="A19" s="33"/>
      <c r="B19" s="5" t="s">
        <v>101</v>
      </c>
      <c r="C19" s="12">
        <f>Budget_Costs!$D17*C$4</f>
        <v>7000</v>
      </c>
      <c r="D19" s="12">
        <f>Budget_Costs!$D17*D$4</f>
        <v>7000</v>
      </c>
      <c r="E19" s="12">
        <f>Budget_Costs!$D17*E$4</f>
        <v>7000</v>
      </c>
      <c r="F19" s="12">
        <f>Budget_Costs!$D17*F$4</f>
        <v>7000</v>
      </c>
      <c r="G19" s="12">
        <f>Budget_Costs!$D17*G$4</f>
        <v>7000</v>
      </c>
    </row>
    <row r="20" spans="1:7" x14ac:dyDescent="0.45">
      <c r="A20" s="33"/>
      <c r="B20" s="5" t="s">
        <v>3</v>
      </c>
      <c r="C20" s="12">
        <f>Budget_Costs!$D18*C$4</f>
        <v>24000</v>
      </c>
      <c r="D20" s="12">
        <f>Budget_Costs!$D18*D$4</f>
        <v>24000</v>
      </c>
      <c r="E20" s="12">
        <f>Budget_Costs!$D18*E$4</f>
        <v>24000</v>
      </c>
      <c r="F20" s="12">
        <f>Budget_Costs!$D18*F$4</f>
        <v>24000</v>
      </c>
      <c r="G20" s="12">
        <f>Budget_Costs!$D18*G$4</f>
        <v>24000</v>
      </c>
    </row>
    <row r="21" spans="1:7" x14ac:dyDescent="0.45">
      <c r="A21" s="33"/>
      <c r="B21" s="5" t="s">
        <v>40</v>
      </c>
      <c r="C21" s="12">
        <f>Budget_Costs!$C19</f>
        <v>10000</v>
      </c>
      <c r="D21" s="12">
        <f>Budget_Costs!$C19</f>
        <v>10000</v>
      </c>
      <c r="E21" s="12">
        <f>Budget_Costs!$C19</f>
        <v>10000</v>
      </c>
      <c r="F21" s="12">
        <f>Budget_Costs!$C19</f>
        <v>10000</v>
      </c>
      <c r="G21" s="12">
        <f>Budget_Costs!$C19</f>
        <v>10000</v>
      </c>
    </row>
    <row r="22" spans="1:7" x14ac:dyDescent="0.45">
      <c r="A22" s="33"/>
      <c r="B22" s="5" t="s">
        <v>18</v>
      </c>
      <c r="C22" s="12">
        <f>Budget_Costs!$C20</f>
        <v>20000</v>
      </c>
      <c r="D22" s="12">
        <f>Budget_Costs!$C20</f>
        <v>20000</v>
      </c>
      <c r="E22" s="12">
        <f>Budget_Costs!$C20</f>
        <v>20000</v>
      </c>
      <c r="F22" s="12">
        <f>Budget_Costs!$C20</f>
        <v>20000</v>
      </c>
      <c r="G22" s="12">
        <f>Budget_Costs!$C20</f>
        <v>20000</v>
      </c>
    </row>
    <row r="23" spans="1:7" x14ac:dyDescent="0.45">
      <c r="A23" s="33"/>
      <c r="B23" s="5" t="s">
        <v>32</v>
      </c>
      <c r="C23" s="12">
        <f>Budget_Costs!$C21</f>
        <v>25000</v>
      </c>
      <c r="D23" s="12">
        <f>Budget_Costs!$C21</f>
        <v>25000</v>
      </c>
      <c r="E23" s="12">
        <f>Budget_Costs!$C21</f>
        <v>25000</v>
      </c>
      <c r="F23" s="12">
        <f>Budget_Costs!$C21</f>
        <v>25000</v>
      </c>
      <c r="G23" s="12">
        <f>Budget_Costs!$C21</f>
        <v>25000</v>
      </c>
    </row>
    <row r="24" spans="1:7" x14ac:dyDescent="0.45">
      <c r="A24" s="33"/>
      <c r="B24" s="5" t="s">
        <v>17</v>
      </c>
      <c r="C24" s="12">
        <f>Budget_Costs!$C22</f>
        <v>15000</v>
      </c>
      <c r="D24" s="12">
        <f>Budget_Costs!$C22</f>
        <v>15000</v>
      </c>
      <c r="E24" s="12">
        <f>Budget_Costs!$C22</f>
        <v>15000</v>
      </c>
      <c r="F24" s="12">
        <f>Budget_Costs!$C22</f>
        <v>15000</v>
      </c>
      <c r="G24" s="12">
        <f>Budget_Costs!$C22</f>
        <v>15000</v>
      </c>
    </row>
    <row r="25" spans="1:7" x14ac:dyDescent="0.45">
      <c r="A25" s="33"/>
      <c r="B25" s="5" t="s">
        <v>10</v>
      </c>
      <c r="C25" s="12">
        <f>Budget_Costs!$C23</f>
        <v>15000</v>
      </c>
      <c r="D25" s="12">
        <f>Budget_Costs!$C23</f>
        <v>15000</v>
      </c>
      <c r="E25" s="12">
        <f>Budget_Costs!$C23</f>
        <v>15000</v>
      </c>
      <c r="F25" s="12">
        <f>Budget_Costs!$C23</f>
        <v>15000</v>
      </c>
      <c r="G25" s="12">
        <f>Budget_Costs!$C23</f>
        <v>15000</v>
      </c>
    </row>
    <row r="26" spans="1:7" x14ac:dyDescent="0.45">
      <c r="A26" s="33"/>
      <c r="B26" s="5" t="s">
        <v>9</v>
      </c>
      <c r="C26" s="12">
        <f>Budget_Costs!$D24*C$4</f>
        <v>21000</v>
      </c>
      <c r="D26" s="12">
        <f>Budget_Costs!$D24*D$4</f>
        <v>21000</v>
      </c>
      <c r="E26" s="12">
        <f>Budget_Costs!$D24*E$4</f>
        <v>21000</v>
      </c>
      <c r="F26" s="12">
        <f>Budget_Costs!$D24*F$4</f>
        <v>21000</v>
      </c>
      <c r="G26" s="12">
        <f>Budget_Costs!$D24*G$4</f>
        <v>21000</v>
      </c>
    </row>
    <row r="27" spans="1:7" x14ac:dyDescent="0.45">
      <c r="A27" s="33"/>
      <c r="B27" s="5" t="s">
        <v>2</v>
      </c>
      <c r="C27" s="12">
        <f>Budget_Costs!$D25*C$4</f>
        <v>22000</v>
      </c>
      <c r="D27" s="12">
        <f>Budget_Costs!$D25*D$4</f>
        <v>22000</v>
      </c>
      <c r="E27" s="12">
        <f>Budget_Costs!$D25*E$4</f>
        <v>22000</v>
      </c>
      <c r="F27" s="12">
        <f>Budget_Costs!$D25*F$4</f>
        <v>22000</v>
      </c>
      <c r="G27" s="12">
        <f>Budget_Costs!$D25*G$4</f>
        <v>22000</v>
      </c>
    </row>
    <row r="28" spans="1:7" x14ac:dyDescent="0.45">
      <c r="A28" s="33"/>
      <c r="B28" s="5" t="s">
        <v>12</v>
      </c>
      <c r="C28" s="12">
        <f>Budget_Costs!$D26*C$4</f>
        <v>19000</v>
      </c>
      <c r="D28" s="12">
        <f>Budget_Costs!$D26*D$4</f>
        <v>19000</v>
      </c>
      <c r="E28" s="12">
        <f>Budget_Costs!$D26*E$4</f>
        <v>19000</v>
      </c>
      <c r="F28" s="12">
        <f>Budget_Costs!$D26*F$4</f>
        <v>19000</v>
      </c>
      <c r="G28" s="12">
        <f>Budget_Costs!$D26*G$4</f>
        <v>19000</v>
      </c>
    </row>
    <row r="29" spans="1:7" x14ac:dyDescent="0.45">
      <c r="A29" s="33"/>
      <c r="B29" s="5" t="s">
        <v>44</v>
      </c>
      <c r="C29" s="12">
        <f>Budget_Costs!$D27*C$4</f>
        <v>5000</v>
      </c>
      <c r="D29" s="12">
        <f>Budget_Costs!$D27*D$4</f>
        <v>5000</v>
      </c>
      <c r="E29" s="12">
        <f>Budget_Costs!$D27*E$4</f>
        <v>5000</v>
      </c>
      <c r="F29" s="12">
        <f>Budget_Costs!$D27*F$4</f>
        <v>5000</v>
      </c>
      <c r="G29" s="12">
        <f>Budget_Costs!$D27*G$4</f>
        <v>5000</v>
      </c>
    </row>
    <row r="30" spans="1:7" x14ac:dyDescent="0.45">
      <c r="A30" s="33"/>
      <c r="B30" s="5" t="s">
        <v>6</v>
      </c>
      <c r="C30" s="12">
        <f>Budget_Costs!$C28</f>
        <v>20000</v>
      </c>
      <c r="D30" s="12">
        <f>Budget_Costs!$C28</f>
        <v>20000</v>
      </c>
      <c r="E30" s="12">
        <f>Budget_Costs!$C28</f>
        <v>20000</v>
      </c>
      <c r="F30" s="12">
        <f>Budget_Costs!$C28</f>
        <v>20000</v>
      </c>
      <c r="G30" s="12">
        <f>Budget_Costs!$C28</f>
        <v>20000</v>
      </c>
    </row>
    <row r="31" spans="1:7" x14ac:dyDescent="0.45">
      <c r="A31" s="33"/>
      <c r="B31" s="5" t="s">
        <v>112</v>
      </c>
      <c r="C31" s="12">
        <f>Budget_Costs!$C29</f>
        <v>140000</v>
      </c>
      <c r="D31" s="12">
        <f>Budget_Costs!$C29</f>
        <v>140000</v>
      </c>
      <c r="E31" s="12">
        <f>Budget_Costs!$C29</f>
        <v>140000</v>
      </c>
      <c r="F31" s="12">
        <f>Budget_Costs!$C29</f>
        <v>140000</v>
      </c>
      <c r="G31" s="12">
        <f>Budget_Costs!$C29</f>
        <v>140000</v>
      </c>
    </row>
    <row r="32" spans="1:7" x14ac:dyDescent="0.45">
      <c r="A32" s="33"/>
      <c r="B32" s="15" t="s">
        <v>132</v>
      </c>
      <c r="C32" s="15"/>
      <c r="D32" s="15"/>
      <c r="E32" s="15"/>
      <c r="F32" s="15"/>
      <c r="G32" s="15"/>
    </row>
    <row r="33" spans="1:7" x14ac:dyDescent="0.45">
      <c r="A33" s="33"/>
      <c r="B33" s="5" t="s">
        <v>38</v>
      </c>
      <c r="C33" s="12">
        <f>Budget_Costs!$C31</f>
        <v>90000</v>
      </c>
      <c r="D33" s="12">
        <f>Budget_Costs!$C31</f>
        <v>90000</v>
      </c>
      <c r="E33" s="12">
        <f>Budget_Costs!$C31</f>
        <v>90000</v>
      </c>
      <c r="F33" s="12">
        <f>Budget_Costs!$C31</f>
        <v>90000</v>
      </c>
      <c r="G33" s="12">
        <f>Budget_Costs!$C31</f>
        <v>90000</v>
      </c>
    </row>
    <row r="34" spans="1:7" x14ac:dyDescent="0.45">
      <c r="A34" s="33"/>
      <c r="B34" s="5" t="s">
        <v>180</v>
      </c>
      <c r="C34" s="12">
        <f>SUM(Budget_Costs!$C32:'Budget_Costs'!$C33)</f>
        <v>120000</v>
      </c>
      <c r="D34" s="12">
        <f>SUM(Budget_Costs!$C32:'Budget_Costs'!$C33)</f>
        <v>120000</v>
      </c>
      <c r="E34" s="12">
        <f>SUM(Budget_Costs!$C32:'Budget_Costs'!$C33)</f>
        <v>120000</v>
      </c>
      <c r="F34" s="12">
        <f>SUM(Budget_Costs!$C32:'Budget_Costs'!$C33)</f>
        <v>120000</v>
      </c>
      <c r="G34" s="12">
        <f>SUM(Budget_Costs!$C32:'Budget_Costs'!$C33)</f>
        <v>120000</v>
      </c>
    </row>
    <row r="35" spans="1:7" x14ac:dyDescent="0.45">
      <c r="A35" s="33"/>
      <c r="B35" s="5" t="s">
        <v>13</v>
      </c>
      <c r="C35" s="12">
        <f>Budget_Costs!$D35*C$4</f>
        <v>65340.000000000007</v>
      </c>
      <c r="D35" s="12">
        <f>Budget_Costs!$D35*D$4</f>
        <v>65340.000000000007</v>
      </c>
      <c r="E35" s="12">
        <f>Budget_Costs!$D35*E$4</f>
        <v>65340.000000000007</v>
      </c>
      <c r="F35" s="12">
        <f>Budget_Costs!$D35*F$4</f>
        <v>65340.000000000007</v>
      </c>
      <c r="G35" s="12">
        <f>Budget_Costs!$D35*G$4</f>
        <v>65340.000000000007</v>
      </c>
    </row>
    <row r="36" spans="1:7" x14ac:dyDescent="0.45">
      <c r="A36" s="33"/>
      <c r="B36" s="5" t="s">
        <v>14</v>
      </c>
      <c r="C36" s="12">
        <f>Budget_Costs!$D34*C$4</f>
        <v>21384</v>
      </c>
      <c r="D36" s="12">
        <f>Budget_Costs!$D34*D$4</f>
        <v>21384</v>
      </c>
      <c r="E36" s="12">
        <f>Budget_Costs!$D34*E$4</f>
        <v>21384</v>
      </c>
      <c r="F36" s="12">
        <f>Budget_Costs!$D34*F$4</f>
        <v>21384</v>
      </c>
      <c r="G36" s="12">
        <f>Budget_Costs!$D34*G$4</f>
        <v>21384</v>
      </c>
    </row>
    <row r="37" spans="1:7" x14ac:dyDescent="0.45">
      <c r="A37" s="33"/>
      <c r="B37" s="5" t="s">
        <v>15</v>
      </c>
      <c r="C37" s="12">
        <f>Budget_Costs!$D37*C$4</f>
        <v>5000</v>
      </c>
      <c r="D37" s="12">
        <f>Budget_Costs!$D37*D$4</f>
        <v>5000</v>
      </c>
      <c r="E37" s="12">
        <f>Budget_Costs!$D37*E$4</f>
        <v>5000</v>
      </c>
      <c r="F37" s="12">
        <f>Budget_Costs!$D37*F$4</f>
        <v>5000</v>
      </c>
      <c r="G37" s="12">
        <f>Budget_Costs!$D37*G$4</f>
        <v>5000</v>
      </c>
    </row>
    <row r="38" spans="1:7" x14ac:dyDescent="0.45">
      <c r="A38" s="33"/>
      <c r="B38" s="5" t="s">
        <v>16</v>
      </c>
      <c r="C38" s="12">
        <f>Budget_Costs!$D36*C$4</f>
        <v>15444.000000000004</v>
      </c>
      <c r="D38" s="12">
        <f>Budget_Costs!$D36*D$4</f>
        <v>15444.000000000004</v>
      </c>
      <c r="E38" s="12">
        <f>Budget_Costs!$D36*E$4</f>
        <v>15444.000000000004</v>
      </c>
      <c r="F38" s="12">
        <f>Budget_Costs!$D36*F$4</f>
        <v>15444.000000000004</v>
      </c>
      <c r="G38" s="12">
        <f>Budget_Costs!$D36*G$4</f>
        <v>15444.000000000004</v>
      </c>
    </row>
    <row r="39" spans="1:7" x14ac:dyDescent="0.45">
      <c r="A39" s="33"/>
      <c r="B39" s="5" t="s">
        <v>173</v>
      </c>
      <c r="C39" s="12">
        <f>Budget_Costs!$D38*C$4</f>
        <v>18000</v>
      </c>
      <c r="D39" s="12">
        <f>Budget_Costs!$D38*D$4</f>
        <v>18000</v>
      </c>
      <c r="E39" s="12">
        <f>Budget_Costs!$D38*E$4</f>
        <v>18000</v>
      </c>
      <c r="F39" s="12">
        <f>Budget_Costs!$D38*F$4</f>
        <v>18000</v>
      </c>
      <c r="G39" s="12">
        <f>Budget_Costs!$D38*G$4</f>
        <v>18000</v>
      </c>
    </row>
    <row r="40" spans="1:7" x14ac:dyDescent="0.45">
      <c r="A40" s="33"/>
      <c r="B40" s="5" t="s">
        <v>174</v>
      </c>
      <c r="C40" s="12">
        <f>Budget_Costs!$D39*C$4</f>
        <v>58000</v>
      </c>
      <c r="D40" s="12">
        <f>Budget_Costs!$D39*D$4</f>
        <v>58000</v>
      </c>
      <c r="E40" s="12">
        <f>Budget_Costs!$D39*E$4</f>
        <v>58000</v>
      </c>
      <c r="F40" s="12">
        <f>Budget_Costs!$D39*F$4</f>
        <v>58000</v>
      </c>
      <c r="G40" s="12">
        <f>Budget_Costs!$D39*G$4</f>
        <v>58000</v>
      </c>
    </row>
    <row r="41" spans="1:7" x14ac:dyDescent="0.45">
      <c r="A41" s="33"/>
      <c r="B41" s="5" t="s">
        <v>42</v>
      </c>
      <c r="C41" s="32">
        <f>SUM(C33:C40)*0.014</f>
        <v>5504.3519999999999</v>
      </c>
      <c r="D41" s="32">
        <f>SUM(D33:D40)*0.014</f>
        <v>5504.3519999999999</v>
      </c>
      <c r="E41" s="32">
        <f>SUM(E33:E40)*0.014</f>
        <v>5504.3519999999999</v>
      </c>
      <c r="F41" s="32">
        <f>SUM(F33:F40)*0.014</f>
        <v>5504.3519999999999</v>
      </c>
      <c r="G41" s="32">
        <f>SUM(G33:G40)*0.014</f>
        <v>5504.3519999999999</v>
      </c>
    </row>
    <row r="42" spans="1:7" x14ac:dyDescent="0.45">
      <c r="A42" s="33"/>
      <c r="B42" s="5" t="s">
        <v>19</v>
      </c>
      <c r="C42" s="20">
        <f>Budget_Costs!$C41</f>
        <v>50000</v>
      </c>
      <c r="D42" s="20">
        <f>Budget_Costs!$C41</f>
        <v>50000</v>
      </c>
      <c r="E42" s="20">
        <f>Budget_Costs!$C41</f>
        <v>50000</v>
      </c>
      <c r="F42" s="20">
        <f>Budget_Costs!$C41</f>
        <v>50000</v>
      </c>
      <c r="G42" s="20">
        <f>Budget_Costs!$C41</f>
        <v>50000</v>
      </c>
    </row>
    <row r="43" spans="1:7" x14ac:dyDescent="0.45">
      <c r="A43" s="33"/>
      <c r="B43" s="5" t="s">
        <v>76</v>
      </c>
      <c r="C43" s="20">
        <f>Budget_Costs!$C42</f>
        <v>10000</v>
      </c>
      <c r="D43" s="20">
        <f>Budget_Costs!$C42</f>
        <v>10000</v>
      </c>
      <c r="E43" s="20">
        <f>Budget_Costs!$C42</f>
        <v>10000</v>
      </c>
      <c r="F43" s="20">
        <f>Budget_Costs!$C42</f>
        <v>10000</v>
      </c>
      <c r="G43" s="20">
        <f>Budget_Costs!$C42</f>
        <v>10000</v>
      </c>
    </row>
    <row r="44" spans="1:7" x14ac:dyDescent="0.45">
      <c r="A44" s="33"/>
      <c r="B44" s="7" t="s">
        <v>45</v>
      </c>
      <c r="C44" s="20">
        <f>Budget_Costs!$C43</f>
        <v>10000</v>
      </c>
      <c r="D44" s="20">
        <f>Budget_Costs!$C43</f>
        <v>10000</v>
      </c>
      <c r="E44" s="20">
        <f>Budget_Costs!$C43</f>
        <v>10000</v>
      </c>
      <c r="F44" s="20">
        <f>Budget_Costs!$C43</f>
        <v>10000</v>
      </c>
      <c r="G44" s="20">
        <f>Budget_Costs!$C43</f>
        <v>10000</v>
      </c>
    </row>
    <row r="45" spans="1:7" x14ac:dyDescent="0.45">
      <c r="A45" s="33"/>
      <c r="B45" s="5" t="s">
        <v>82</v>
      </c>
      <c r="C45" s="20">
        <f>Budget_Costs!$C$44</f>
        <v>180000</v>
      </c>
      <c r="D45" s="20">
        <f>Budget_Costs!$C$44</f>
        <v>180000</v>
      </c>
      <c r="E45" s="20">
        <f>Budget_Costs!$C$44</f>
        <v>180000</v>
      </c>
      <c r="F45" s="20">
        <f>Budget_Costs!$C$44</f>
        <v>180000</v>
      </c>
      <c r="G45" s="20">
        <f>Budget_Costs!$C$44</f>
        <v>180000</v>
      </c>
    </row>
    <row r="46" spans="1:7" x14ac:dyDescent="0.45">
      <c r="B46" s="57" t="s">
        <v>20</v>
      </c>
      <c r="C46" s="58">
        <f>SUM(C16:C45)</f>
        <v>1115672.352</v>
      </c>
      <c r="D46" s="58">
        <f>SUM(D16:D45)</f>
        <v>1115672.352</v>
      </c>
      <c r="E46" s="58">
        <f>SUM(E16:E45)</f>
        <v>1115672.352</v>
      </c>
      <c r="F46" s="58">
        <f>SUM(F16:F45)</f>
        <v>1115672.352</v>
      </c>
      <c r="G46" s="58">
        <f>SUM(G16:G45)</f>
        <v>1115672.352</v>
      </c>
    </row>
    <row r="47" spans="1:7" x14ac:dyDescent="0.45">
      <c r="B47" s="6"/>
      <c r="C47" s="14"/>
      <c r="D47" s="14"/>
      <c r="E47" s="14"/>
      <c r="F47" s="14"/>
      <c r="G47" s="14"/>
    </row>
    <row r="48" spans="1:7" ht="14.65" thickBot="1" x14ac:dyDescent="0.5">
      <c r="B48" s="18" t="s">
        <v>189</v>
      </c>
      <c r="C48" s="19">
        <f>C13-C46</f>
        <v>-37472.351999999955</v>
      </c>
      <c r="D48" s="19">
        <f>D13-D46</f>
        <v>741227.64800000004</v>
      </c>
      <c r="E48" s="19">
        <f>E13-E46</f>
        <v>980827.64800000004</v>
      </c>
      <c r="F48" s="19">
        <f>F13-F46</f>
        <v>980827.64800000004</v>
      </c>
      <c r="G48" s="19">
        <f>G13-G46</f>
        <v>980827.64800000004</v>
      </c>
    </row>
    <row r="49" spans="2:7" ht="14.65" thickTop="1" x14ac:dyDescent="0.45">
      <c r="B49" s="51" t="s">
        <v>111</v>
      </c>
      <c r="C49" s="52">
        <f>C48/C13</f>
        <v>-3.4754546466332734E-2</v>
      </c>
      <c r="D49" s="52">
        <f>D48/D13</f>
        <v>0.39917477947116164</v>
      </c>
      <c r="E49" s="52">
        <f>E48/E13</f>
        <v>0.46784051896017176</v>
      </c>
      <c r="F49" s="52">
        <f>F48/F13</f>
        <v>0.46784051896017176</v>
      </c>
      <c r="G49" s="52">
        <f>G48/G13</f>
        <v>0.46784051896017176</v>
      </c>
    </row>
    <row r="50" spans="2:7" x14ac:dyDescent="0.45">
      <c r="B50" s="51" t="s">
        <v>36</v>
      </c>
      <c r="C50" s="62">
        <f>C46/C6</f>
        <v>30.990898666666666</v>
      </c>
      <c r="D50" s="62">
        <f>D46/D6</f>
        <v>17.994715354838711</v>
      </c>
      <c r="E50" s="62">
        <f>E46/E6</f>
        <v>15.938176457142857</v>
      </c>
      <c r="F50" s="62">
        <f>F46/F6</f>
        <v>15.938176457142857</v>
      </c>
      <c r="G50" s="62">
        <f>G46/G6</f>
        <v>15.938176457142857</v>
      </c>
    </row>
    <row r="51" spans="2:7" x14ac:dyDescent="0.45">
      <c r="B51" s="51" t="s">
        <v>37</v>
      </c>
      <c r="C51" s="63">
        <f>C46/C4</f>
        <v>27891.808799999999</v>
      </c>
      <c r="D51" s="63">
        <f>D46/D4</f>
        <v>27891.808799999999</v>
      </c>
      <c r="E51" s="63">
        <f>E46/E4</f>
        <v>27891.808799999999</v>
      </c>
      <c r="F51" s="63">
        <f>F46/F4</f>
        <v>27891.808799999999</v>
      </c>
      <c r="G51" s="63">
        <f>G46/G4</f>
        <v>27891.808799999999</v>
      </c>
    </row>
    <row r="52" spans="2:7" x14ac:dyDescent="0.45">
      <c r="B52" s="5"/>
      <c r="C52" s="11"/>
      <c r="D52" s="11"/>
      <c r="E52" s="11"/>
      <c r="F52" s="11"/>
      <c r="G52" s="11"/>
    </row>
    <row r="53" spans="2:7" x14ac:dyDescent="0.45">
      <c r="B53" s="7" t="s">
        <v>30</v>
      </c>
      <c r="C53" s="20">
        <f>Budget_Costs!$C$45</f>
        <v>275000</v>
      </c>
      <c r="D53" s="20">
        <f>Budget_Costs!$C$45</f>
        <v>275000</v>
      </c>
      <c r="E53" s="20">
        <f>Budget_Costs!$C$45</f>
        <v>275000</v>
      </c>
      <c r="F53" s="20">
        <f>Budget_Costs!$C$45</f>
        <v>275000</v>
      </c>
      <c r="G53" s="20">
        <f>Budget_Costs!$C$45</f>
        <v>275000</v>
      </c>
    </row>
    <row r="54" spans="2:7" x14ac:dyDescent="0.45">
      <c r="B54" s="21" t="s">
        <v>192</v>
      </c>
      <c r="C54" s="17">
        <f>MAX(0,(C48-C53)*0.28)</f>
        <v>0</v>
      </c>
      <c r="D54" s="17">
        <f>MAX(0,(D48-D53)*0.28)</f>
        <v>130543.74144000003</v>
      </c>
      <c r="E54" s="17">
        <f>MAX(0,(E48-E53)*0.28)</f>
        <v>197631.74144000004</v>
      </c>
      <c r="F54" s="17">
        <f>MAX(0,(F48-F53)*0.28)</f>
        <v>197631.74144000004</v>
      </c>
      <c r="G54" s="17">
        <f>MAX(0,(G48-G53)*0.28)</f>
        <v>197631.74144000004</v>
      </c>
    </row>
    <row r="55" spans="2:7" ht="14.65" thickBot="1" x14ac:dyDescent="0.5">
      <c r="B55" s="18" t="s">
        <v>27</v>
      </c>
      <c r="C55" s="19">
        <f>C48-C53-C54</f>
        <v>-312472.35199999996</v>
      </c>
      <c r="D55" s="19">
        <f>D48-D53-D54</f>
        <v>335683.90656000003</v>
      </c>
      <c r="E55" s="19">
        <f>E48-E53-E54</f>
        <v>508195.90656000003</v>
      </c>
      <c r="F55" s="19">
        <f>F48-F53-F54</f>
        <v>508195.90656000003</v>
      </c>
      <c r="G55" s="19">
        <f>G48-G53-G54</f>
        <v>508195.90656000003</v>
      </c>
    </row>
    <row r="56" spans="2:7" ht="14.65" thickTop="1" x14ac:dyDescent="0.45">
      <c r="B56" s="13"/>
      <c r="C56" s="14"/>
      <c r="D56" s="14"/>
      <c r="E56" s="14"/>
      <c r="F56" s="14"/>
      <c r="G56" s="14"/>
    </row>
    <row r="57" spans="2:7" x14ac:dyDescent="0.45">
      <c r="B57" s="64" t="s">
        <v>191</v>
      </c>
      <c r="C57" s="90">
        <f t="shared" ref="C57:F57" si="2">C55+C53</f>
        <v>-37472.351999999955</v>
      </c>
      <c r="D57" s="90">
        <f t="shared" si="2"/>
        <v>610683.90656000003</v>
      </c>
      <c r="E57" s="90">
        <f>E55+E53</f>
        <v>783195.90656000003</v>
      </c>
      <c r="F57" s="90">
        <f t="shared" si="2"/>
        <v>783195.90656000003</v>
      </c>
      <c r="G57" s="90">
        <f t="shared" ref="G57" si="3">G55+G53</f>
        <v>783195.90656000003</v>
      </c>
    </row>
    <row r="58" spans="2:7" x14ac:dyDescent="0.45">
      <c r="B58" s="64" t="s">
        <v>190</v>
      </c>
      <c r="C58" s="65">
        <f>C48/C68</f>
        <v>-4.9012297429860642E-3</v>
      </c>
      <c r="D58" s="65">
        <f>D48/D68</f>
        <v>9.6949532143090711E-2</v>
      </c>
      <c r="E58" s="65">
        <f>E48/E68</f>
        <v>0.12828822810803742</v>
      </c>
      <c r="F58" s="65">
        <f>F48/F68</f>
        <v>0.12828822810803742</v>
      </c>
      <c r="G58" s="65">
        <f>G48/G68</f>
        <v>0.12828822810803742</v>
      </c>
    </row>
    <row r="59" spans="2:7" x14ac:dyDescent="0.45">
      <c r="B59" s="64" t="s">
        <v>140</v>
      </c>
      <c r="C59" s="65">
        <f>C57/C68</f>
        <v>-4.9012297429860642E-3</v>
      </c>
      <c r="D59" s="65">
        <f>D57/D68</f>
        <v>7.9874946904715194E-2</v>
      </c>
      <c r="E59" s="65">
        <f>E57/E68</f>
        <v>0.10243880799947683</v>
      </c>
      <c r="F59" s="65">
        <f>F57/F68</f>
        <v>0.10243880799947683</v>
      </c>
      <c r="G59" s="65">
        <f>G57/G68</f>
        <v>0.10243880799947683</v>
      </c>
    </row>
    <row r="60" spans="2:7" x14ac:dyDescent="0.45">
      <c r="B60" s="64" t="s">
        <v>121</v>
      </c>
      <c r="C60" s="65">
        <f>C55/C68</f>
        <v>-4.087010032044993E-2</v>
      </c>
      <c r="D60" s="65">
        <f>D55/D68</f>
        <v>4.3906076327251325E-2</v>
      </c>
      <c r="E60" s="65">
        <f>E55/E68</f>
        <v>6.6469937422012959E-2</v>
      </c>
      <c r="F60" s="65">
        <f>F55/F68</f>
        <v>6.6469937422012959E-2</v>
      </c>
      <c r="G60" s="65">
        <f>G55/G68</f>
        <v>6.6469937422012959E-2</v>
      </c>
    </row>
    <row r="61" spans="2:7" x14ac:dyDescent="0.45">
      <c r="B61" s="64" t="s">
        <v>193</v>
      </c>
      <c r="C61" s="66">
        <f>(C46+SUM(C9:C12))/C6</f>
        <v>36.040898666666664</v>
      </c>
      <c r="D61" s="66">
        <f>(D46+SUM(D9:D12))/D6</f>
        <v>23.044715354838708</v>
      </c>
      <c r="E61" s="66">
        <f>(E46+SUM(E9:E12))/E6</f>
        <v>20.988176457142856</v>
      </c>
      <c r="F61" s="66">
        <f>(F46+SUM(F9:F12))/F6</f>
        <v>20.988176457142856</v>
      </c>
      <c r="G61" s="66">
        <f>(G46+SUM(G9:G12))/G6</f>
        <v>20.988176457142856</v>
      </c>
    </row>
    <row r="63" spans="2:7" x14ac:dyDescent="0.45">
      <c r="B63" s="71" t="s">
        <v>194</v>
      </c>
      <c r="C63" s="72"/>
      <c r="D63" s="72"/>
      <c r="E63" s="72"/>
      <c r="F63" s="72"/>
      <c r="G63" s="72"/>
    </row>
    <row r="64" spans="2:7" x14ac:dyDescent="0.45">
      <c r="B64" s="11" t="s">
        <v>117</v>
      </c>
      <c r="C64" s="32">
        <f>ROUND(C46*Budget_Costs!$F$79,-3)</f>
        <v>372000</v>
      </c>
      <c r="D64" s="32">
        <f>ROUND(D46*Budget_Costs!$F$79,-3)</f>
        <v>372000</v>
      </c>
      <c r="E64" s="32">
        <f>ROUND(E46*Budget_Costs!$F$79,-3)</f>
        <v>372000</v>
      </c>
      <c r="F64" s="32">
        <f>ROUND(F46*Budget_Costs!$F$79,-3)</f>
        <v>372000</v>
      </c>
      <c r="G64" s="32">
        <f>ROUND(G46*Budget_Costs!$F$79,-3)</f>
        <v>372000</v>
      </c>
    </row>
    <row r="65" spans="2:7" x14ac:dyDescent="0.45">
      <c r="B65" s="11" t="s">
        <v>123</v>
      </c>
      <c r="C65" s="32">
        <f>ROUND(C46*Budget_Costs!$F$80,-3)</f>
        <v>1339000</v>
      </c>
      <c r="D65" s="32">
        <f>ROUND(D46*Budget_Costs!$F$80,-3)</f>
        <v>1339000</v>
      </c>
      <c r="E65" s="32">
        <f>ROUND(E46*Budget_Costs!$F$80,-3)</f>
        <v>1339000</v>
      </c>
      <c r="F65" s="32">
        <f>ROUND(F46*Budget_Costs!$F$80,-3)</f>
        <v>1339000</v>
      </c>
      <c r="G65" s="32">
        <f>ROUND(G46*Budget_Costs!$F$80,-3)</f>
        <v>1339000</v>
      </c>
    </row>
    <row r="66" spans="2:7" x14ac:dyDescent="0.45">
      <c r="B66" s="11" t="s">
        <v>28</v>
      </c>
      <c r="C66" s="32">
        <f>Budget_Costs!$D$60*C4</f>
        <v>1794500</v>
      </c>
      <c r="D66" s="32">
        <f>Budget_Costs!$D$60*D4</f>
        <v>1794500</v>
      </c>
      <c r="E66" s="32">
        <f>Budget_Costs!$D$60*E4</f>
        <v>1794500</v>
      </c>
      <c r="F66" s="32">
        <f>Budget_Costs!$D$60*F4</f>
        <v>1794500</v>
      </c>
      <c r="G66" s="32">
        <f>Budget_Costs!$D$60*G4</f>
        <v>1794500</v>
      </c>
    </row>
    <row r="67" spans="2:7" x14ac:dyDescent="0.45">
      <c r="B67" s="21" t="s">
        <v>138</v>
      </c>
      <c r="C67" s="53">
        <f>Budget_Costs!$C$77</f>
        <v>4140000</v>
      </c>
      <c r="D67" s="53">
        <f>Budget_Costs!$C$77</f>
        <v>4140000</v>
      </c>
      <c r="E67" s="53">
        <f>Budget_Costs!$C$77</f>
        <v>4140000</v>
      </c>
      <c r="F67" s="53">
        <f>Budget_Costs!$C$77</f>
        <v>4140000</v>
      </c>
      <c r="G67" s="53">
        <f>Budget_Costs!$C$77</f>
        <v>4140000</v>
      </c>
    </row>
    <row r="68" spans="2:7" x14ac:dyDescent="0.45">
      <c r="B68" s="54" t="s">
        <v>195</v>
      </c>
      <c r="C68" s="34">
        <f>SUM(C64:C67)</f>
        <v>7645500</v>
      </c>
      <c r="D68" s="34">
        <f t="shared" ref="D68:G68" si="4">SUM(D64:D67)</f>
        <v>7645500</v>
      </c>
      <c r="E68" s="34">
        <f t="shared" si="4"/>
        <v>7645500</v>
      </c>
      <c r="F68" s="34">
        <f t="shared" si="4"/>
        <v>7645500</v>
      </c>
      <c r="G68" s="34">
        <f t="shared" si="4"/>
        <v>7645500</v>
      </c>
    </row>
    <row r="69" spans="2:7" customFormat="1" x14ac:dyDescent="0.45"/>
    <row r="70" spans="2:7" x14ac:dyDescent="0.45">
      <c r="C70" s="16"/>
      <c r="D70" s="16"/>
      <c r="E70" s="16"/>
      <c r="F70" s="16"/>
      <c r="G70" s="16"/>
    </row>
    <row r="81" spans="5:7" x14ac:dyDescent="0.45">
      <c r="E81" s="43"/>
      <c r="F81" s="43"/>
      <c r="G81" s="43"/>
    </row>
    <row r="82" spans="5:7" x14ac:dyDescent="0.45">
      <c r="E82" s="43"/>
      <c r="F82" s="43"/>
      <c r="G82" s="43"/>
    </row>
  </sheetData>
  <mergeCells count="1">
    <mergeCell ref="B2:G2"/>
  </mergeCells>
  <pageMargins left="0.45" right="0.45" top="0.25" bottom="0.25" header="0" footer="0"/>
  <pageSetup scale="7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D2FA5-6353-42D0-B23B-44487733BBE3}">
  <dimension ref="A1"/>
  <sheetViews>
    <sheetView workbookViewId="0">
      <selection activeCell="K27" sqref="K27"/>
    </sheetView>
  </sheetViews>
  <sheetFormatPr defaultRowHeight="14.25" x14ac:dyDescent="0.4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Preface</vt:lpstr>
      <vt:lpstr>Notes&amp;Assumptions</vt:lpstr>
      <vt:lpstr>Typical_Calendar</vt:lpstr>
      <vt:lpstr>Budget_Costs</vt:lpstr>
      <vt:lpstr>Proforma_Annual_P&amp;L</vt:lpstr>
      <vt:lpstr>Endnote</vt:lpstr>
      <vt:lpstr>'Proforma_Annual_P&amp;L'!Print_Area</vt:lpstr>
      <vt:lpstr>Typical_Calendar!Print_Area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Dunbar</dc:creator>
  <cp:lastModifiedBy>Dave Dunbar</cp:lastModifiedBy>
  <cp:lastPrinted>2017-08-24T17:10:35Z</cp:lastPrinted>
  <dcterms:created xsi:type="dcterms:W3CDTF">2015-02-19T02:49:06Z</dcterms:created>
  <dcterms:modified xsi:type="dcterms:W3CDTF">2019-09-30T22:41:27Z</dcterms:modified>
</cp:coreProperties>
</file>